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310"/>
  </bookViews>
  <sheets>
    <sheet name="Núa Ngam" sheetId="3" r:id="rId1"/>
    <sheet name="Tong hop" sheetId="5" r:id="rId2"/>
    <sheet name="Truy thu" sheetId="6" r:id="rId3"/>
  </sheets>
  <externalReferences>
    <externalReference r:id="rId4"/>
  </externalReferences>
  <definedNames>
    <definedName name="_xlnm._FilterDatabase" localSheetId="0" hidden="1">'Núa Ngam'!$B$5:$K$251</definedName>
    <definedName name="_xlnm.Print_Area" localSheetId="0">'Núa Ngam'!$B$1:$K$251</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4" i="3" l="1"/>
  <c r="K247" i="3"/>
  <c r="G178" i="3" l="1"/>
  <c r="I178" i="3"/>
  <c r="K174" i="3"/>
  <c r="G174" i="3"/>
  <c r="K173" i="3"/>
  <c r="G173" i="3"/>
  <c r="I162" i="3"/>
  <c r="I114" i="3"/>
  <c r="K114" i="3" s="1"/>
  <c r="G114" i="3"/>
  <c r="I64" i="3"/>
  <c r="I62" i="3"/>
  <c r="I217" i="3"/>
  <c r="I211" i="3"/>
  <c r="I223" i="3"/>
  <c r="I10" i="6"/>
  <c r="K10" i="6" s="1"/>
  <c r="I9" i="6"/>
  <c r="I8" i="6"/>
  <c r="I7" i="6"/>
  <c r="I6" i="6"/>
  <c r="G8" i="6"/>
  <c r="G9" i="6"/>
  <c r="G10" i="6"/>
  <c r="P20" i="5"/>
  <c r="E6" i="5"/>
  <c r="J20" i="5"/>
  <c r="D10" i="6" s="1"/>
  <c r="F20" i="5"/>
  <c r="C20" i="5"/>
  <c r="B20" i="5"/>
  <c r="B10" i="6" s="1"/>
  <c r="P18" i="5"/>
  <c r="J19" i="5"/>
  <c r="E19" i="5" s="1"/>
  <c r="C18" i="5"/>
  <c r="C19" i="5"/>
  <c r="F18" i="5"/>
  <c r="B18" i="5"/>
  <c r="B9" i="6" s="1"/>
  <c r="P8" i="5"/>
  <c r="J17" i="5"/>
  <c r="E17" i="5" s="1"/>
  <c r="J16" i="5"/>
  <c r="F16" i="5"/>
  <c r="I15" i="5"/>
  <c r="I21" i="5" s="1"/>
  <c r="J14" i="5"/>
  <c r="E14" i="5" s="1"/>
  <c r="G13" i="5"/>
  <c r="E13" i="5" s="1"/>
  <c r="G12" i="5"/>
  <c r="E12" i="5" s="1"/>
  <c r="G11" i="5"/>
  <c r="E11" i="5" s="1"/>
  <c r="H10" i="5"/>
  <c r="E10" i="5" s="1"/>
  <c r="G9" i="5"/>
  <c r="E9" i="5" s="1"/>
  <c r="G8" i="5"/>
  <c r="E8" i="5" s="1"/>
  <c r="C8" i="5"/>
  <c r="B8" i="5"/>
  <c r="B8" i="6" s="1"/>
  <c r="P6" i="5"/>
  <c r="O6" i="5"/>
  <c r="P7" i="5"/>
  <c r="O7" i="5"/>
  <c r="E7" i="5"/>
  <c r="F7" i="5" s="1"/>
  <c r="C7" i="5"/>
  <c r="B7" i="5"/>
  <c r="B7" i="6" s="1"/>
  <c r="C6" i="5"/>
  <c r="B6" i="5"/>
  <c r="B6" i="6" s="1"/>
  <c r="D7" i="6"/>
  <c r="P21" i="5" l="1"/>
  <c r="G21" i="5"/>
  <c r="K9" i="6"/>
  <c r="E15" i="5"/>
  <c r="K8" i="6"/>
  <c r="E20" i="5"/>
  <c r="H21" i="5"/>
  <c r="K238" i="3"/>
  <c r="K234" i="3"/>
  <c r="K232" i="3"/>
  <c r="K229" i="3"/>
  <c r="K227" i="3"/>
  <c r="K226" i="3"/>
  <c r="K228" i="3"/>
  <c r="K240" i="3"/>
  <c r="K241" i="3"/>
  <c r="K242" i="3"/>
  <c r="K244" i="3"/>
  <c r="K245" i="3"/>
  <c r="K132" i="3" l="1"/>
  <c r="K133" i="3"/>
  <c r="K134" i="3"/>
  <c r="K135" i="3"/>
  <c r="K136" i="3"/>
  <c r="K137" i="3"/>
  <c r="K138" i="3"/>
  <c r="K139" i="3"/>
  <c r="K140" i="3"/>
  <c r="K131" i="3"/>
  <c r="Q138" i="3"/>
  <c r="Q137" i="3"/>
  <c r="Q133" i="3"/>
  <c r="Q131" i="3"/>
  <c r="K128" i="3"/>
  <c r="K124" i="3"/>
  <c r="K125" i="3"/>
  <c r="K126" i="3"/>
  <c r="K127" i="3"/>
  <c r="K123" i="3"/>
  <c r="K119" i="3"/>
  <c r="B141" i="3"/>
  <c r="K260" i="3" s="1"/>
  <c r="K58" i="3"/>
  <c r="K59" i="3"/>
  <c r="K60" i="3"/>
  <c r="K61" i="3"/>
  <c r="K86" i="3"/>
  <c r="K84" i="3"/>
  <c r="K83" i="3"/>
  <c r="K81" i="3"/>
  <c r="K82" i="3"/>
  <c r="K85" i="3"/>
  <c r="K80" i="3"/>
  <c r="K79" i="3"/>
  <c r="K78" i="3"/>
  <c r="K76" i="3"/>
  <c r="K75" i="3"/>
  <c r="K72" i="3"/>
  <c r="K40" i="3"/>
  <c r="K35" i="3"/>
  <c r="K34" i="3"/>
  <c r="K33" i="3"/>
  <c r="K129" i="3" l="1"/>
  <c r="O8" i="5" s="1"/>
  <c r="G29" i="3" l="1"/>
  <c r="K29" i="3" s="1"/>
  <c r="G28" i="3"/>
  <c r="K28" i="3" s="1"/>
  <c r="G27" i="3"/>
  <c r="K27" i="3" s="1"/>
  <c r="I164" i="3" l="1"/>
  <c r="G164" i="3"/>
  <c r="I159" i="3"/>
  <c r="G159" i="3"/>
  <c r="G158" i="3"/>
  <c r="G154" i="3"/>
  <c r="K154" i="3" s="1"/>
  <c r="G153" i="3"/>
  <c r="K153" i="3" s="1"/>
  <c r="G152" i="3"/>
  <c r="K152" i="3" s="1"/>
  <c r="G151" i="3"/>
  <c r="K151" i="3" s="1"/>
  <c r="G210" i="3"/>
  <c r="K210" i="3" s="1"/>
  <c r="G209" i="3"/>
  <c r="K209" i="3" s="1"/>
  <c r="G208" i="3"/>
  <c r="K208" i="3" s="1"/>
  <c r="I207" i="3"/>
  <c r="G207" i="3"/>
  <c r="G206" i="3"/>
  <c r="K206" i="3" s="1"/>
  <c r="G205" i="3"/>
  <c r="K205" i="3" s="1"/>
  <c r="K250" i="3"/>
  <c r="K248" i="3" s="1"/>
  <c r="O20" i="5" s="1"/>
  <c r="H246" i="3"/>
  <c r="K246" i="3" s="1"/>
  <c r="H243" i="3"/>
  <c r="K243" i="3" s="1"/>
  <c r="H239" i="3"/>
  <c r="K239" i="3" s="1"/>
  <c r="H237" i="3"/>
  <c r="K237" i="3" s="1"/>
  <c r="H236" i="3"/>
  <c r="K236" i="3" s="1"/>
  <c r="H235" i="3"/>
  <c r="K235" i="3" s="1"/>
  <c r="H233" i="3"/>
  <c r="K233" i="3" s="1"/>
  <c r="H231" i="3"/>
  <c r="K231" i="3" s="1"/>
  <c r="H230" i="3"/>
  <c r="K230" i="3" s="1"/>
  <c r="H225" i="3"/>
  <c r="K225" i="3" s="1"/>
  <c r="G222" i="3"/>
  <c r="K222" i="3" s="1"/>
  <c r="K221" i="3"/>
  <c r="G220" i="3"/>
  <c r="K220" i="3" s="1"/>
  <c r="G219" i="3"/>
  <c r="K219" i="3" s="1"/>
  <c r="G218" i="3"/>
  <c r="K218" i="3" s="1"/>
  <c r="G217" i="3"/>
  <c r="G216" i="3"/>
  <c r="G215" i="3"/>
  <c r="K215" i="3" s="1"/>
  <c r="G214" i="3"/>
  <c r="K214" i="3" s="1"/>
  <c r="G213" i="3"/>
  <c r="G212" i="3"/>
  <c r="G211" i="3"/>
  <c r="G204" i="3"/>
  <c r="K204" i="3" s="1"/>
  <c r="K201" i="3"/>
  <c r="K200" i="3"/>
  <c r="E10" i="6" s="1"/>
  <c r="G199" i="3"/>
  <c r="K191" i="3"/>
  <c r="K190" i="3"/>
  <c r="K189" i="3"/>
  <c r="K188" i="3"/>
  <c r="K187" i="3"/>
  <c r="H186" i="3"/>
  <c r="K186" i="3" s="1"/>
  <c r="H185" i="3"/>
  <c r="K185" i="3" s="1"/>
  <c r="H184" i="3"/>
  <c r="K184" i="3" s="1"/>
  <c r="K183" i="3"/>
  <c r="K182" i="3"/>
  <c r="K181" i="3"/>
  <c r="H180" i="3"/>
  <c r="K180" i="3" s="1"/>
  <c r="K178" i="3"/>
  <c r="I177" i="3"/>
  <c r="G177" i="3"/>
  <c r="I176" i="3"/>
  <c r="G176" i="3"/>
  <c r="G175" i="3"/>
  <c r="G171" i="3"/>
  <c r="K170" i="3"/>
  <c r="I169" i="3"/>
  <c r="K169" i="3" s="1"/>
  <c r="G167" i="3"/>
  <c r="G168" i="3" s="1"/>
  <c r="K168" i="3" s="1"/>
  <c r="G166" i="3"/>
  <c r="K166" i="3" s="1"/>
  <c r="G165" i="3"/>
  <c r="K165" i="3" s="1"/>
  <c r="G163" i="3"/>
  <c r="K163" i="3" s="1"/>
  <c r="G162" i="3"/>
  <c r="G161" i="3"/>
  <c r="K161" i="3" s="1"/>
  <c r="G160" i="3"/>
  <c r="K160" i="3" s="1"/>
  <c r="I157" i="3"/>
  <c r="G157" i="3"/>
  <c r="G156" i="3"/>
  <c r="K156" i="3" s="1"/>
  <c r="G155" i="3"/>
  <c r="G150" i="3"/>
  <c r="K147" i="3"/>
  <c r="G146" i="3"/>
  <c r="J18" i="5" s="1"/>
  <c r="K145" i="3"/>
  <c r="E9" i="6" s="1"/>
  <c r="G121" i="3"/>
  <c r="K121" i="3" s="1"/>
  <c r="G120" i="3"/>
  <c r="G118" i="3"/>
  <c r="K118" i="3" s="1"/>
  <c r="G117" i="3"/>
  <c r="K117" i="3" s="1"/>
  <c r="G116" i="3"/>
  <c r="K116" i="3" s="1"/>
  <c r="G115" i="3"/>
  <c r="K115" i="3" s="1"/>
  <c r="G113" i="3"/>
  <c r="G112" i="3"/>
  <c r="K112" i="3" s="1"/>
  <c r="G111" i="3"/>
  <c r="K111" i="3" s="1"/>
  <c r="G110" i="3"/>
  <c r="K110" i="3" s="1"/>
  <c r="G109" i="3"/>
  <c r="K109" i="3" s="1"/>
  <c r="G107" i="3"/>
  <c r="K107" i="3" s="1"/>
  <c r="G106" i="3"/>
  <c r="K106" i="3" s="1"/>
  <c r="G105" i="3"/>
  <c r="K105" i="3" s="1"/>
  <c r="K102" i="3"/>
  <c r="K101" i="3"/>
  <c r="K100" i="3"/>
  <c r="E8" i="6" s="1"/>
  <c r="K99" i="3"/>
  <c r="K98" i="3"/>
  <c r="K97" i="3"/>
  <c r="K96" i="3"/>
  <c r="K95" i="3"/>
  <c r="K94" i="3"/>
  <c r="K93" i="3"/>
  <c r="K92" i="3"/>
  <c r="G91" i="3"/>
  <c r="H77" i="3"/>
  <c r="K77" i="3" s="1"/>
  <c r="H74" i="3"/>
  <c r="K74" i="3" s="1"/>
  <c r="H73" i="3"/>
  <c r="K73" i="3" s="1"/>
  <c r="H71" i="3"/>
  <c r="K71" i="3" s="1"/>
  <c r="H70" i="3"/>
  <c r="K70" i="3" s="1"/>
  <c r="H69" i="3"/>
  <c r="K69" i="3" s="1"/>
  <c r="H68" i="3"/>
  <c r="K68" i="3" s="1"/>
  <c r="H67" i="3"/>
  <c r="K67" i="3" s="1"/>
  <c r="G65" i="3"/>
  <c r="K65" i="3" s="1"/>
  <c r="G64" i="3"/>
  <c r="G63" i="3"/>
  <c r="K63" i="3" s="1"/>
  <c r="G62" i="3"/>
  <c r="I57" i="3"/>
  <c r="G57" i="3"/>
  <c r="G56" i="3"/>
  <c r="K56" i="3" s="1"/>
  <c r="G55" i="3"/>
  <c r="K55" i="3" s="1"/>
  <c r="G54" i="3"/>
  <c r="K54" i="3" s="1"/>
  <c r="G53" i="3"/>
  <c r="K53" i="3" s="1"/>
  <c r="G52" i="3"/>
  <c r="K52" i="3" s="1"/>
  <c r="G51" i="3"/>
  <c r="K51" i="3" s="1"/>
  <c r="K48" i="3"/>
  <c r="G47" i="3"/>
  <c r="C7" i="6" s="1"/>
  <c r="G7" i="6" s="1"/>
  <c r="K7" i="6" s="1"/>
  <c r="K42" i="3"/>
  <c r="K41" i="3"/>
  <c r="K39" i="3"/>
  <c r="K38" i="3"/>
  <c r="K37" i="3"/>
  <c r="H36" i="3"/>
  <c r="K36" i="3" s="1"/>
  <c r="K32" i="3"/>
  <c r="I30" i="3"/>
  <c r="K30" i="3" s="1"/>
  <c r="G26" i="3"/>
  <c r="I24" i="3"/>
  <c r="G24" i="3"/>
  <c r="G25" i="3" s="1"/>
  <c r="K25" i="3" s="1"/>
  <c r="G23" i="3"/>
  <c r="I22" i="3"/>
  <c r="K22" i="3" s="1"/>
  <c r="G21" i="3"/>
  <c r="K21" i="3" s="1"/>
  <c r="G20" i="3"/>
  <c r="K20" i="3" s="1"/>
  <c r="G19" i="3"/>
  <c r="K19" i="3" s="1"/>
  <c r="G18" i="3"/>
  <c r="K18" i="3" s="1"/>
  <c r="G17" i="3"/>
  <c r="K17" i="3" s="1"/>
  <c r="G16" i="3"/>
  <c r="K16" i="3" s="1"/>
  <c r="G15" i="3"/>
  <c r="K15" i="3" s="1"/>
  <c r="G14" i="3"/>
  <c r="K14" i="3" s="1"/>
  <c r="G13" i="3"/>
  <c r="K13" i="3" s="1"/>
  <c r="I12" i="3"/>
  <c r="G12" i="3"/>
  <c r="K9" i="3"/>
  <c r="G8" i="3"/>
  <c r="C6" i="6" s="1"/>
  <c r="G6" i="6" s="1"/>
  <c r="K6" i="6" s="1"/>
  <c r="K8" i="3" l="1"/>
  <c r="L6" i="5" s="1"/>
  <c r="E6" i="6"/>
  <c r="K47" i="3"/>
  <c r="L7" i="5" s="1"/>
  <c r="E7" i="6"/>
  <c r="E18" i="5"/>
  <c r="E21" i="5" s="1"/>
  <c r="J21" i="5"/>
  <c r="K146" i="3"/>
  <c r="K144" i="3" s="1"/>
  <c r="L18" i="5" s="1"/>
  <c r="G194" i="3"/>
  <c r="K194" i="3" s="1"/>
  <c r="K120" i="3"/>
  <c r="K113" i="3"/>
  <c r="K64" i="3"/>
  <c r="K62" i="3"/>
  <c r="K57" i="3"/>
  <c r="K164" i="3"/>
  <c r="K159" i="3"/>
  <c r="K157" i="3"/>
  <c r="K177" i="3"/>
  <c r="K207" i="3"/>
  <c r="K162" i="3"/>
  <c r="K171" i="3"/>
  <c r="K175" i="3"/>
  <c r="K216" i="3"/>
  <c r="K195" i="3"/>
  <c r="K223" i="3"/>
  <c r="K199" i="3"/>
  <c r="L20" i="5" s="1"/>
  <c r="K122" i="3"/>
  <c r="N8" i="5" s="1"/>
  <c r="K12" i="3"/>
  <c r="K23" i="3"/>
  <c r="K217" i="3"/>
  <c r="K212" i="3"/>
  <c r="K158" i="3"/>
  <c r="K213" i="3"/>
  <c r="K26" i="3"/>
  <c r="K91" i="3"/>
  <c r="K155" i="3"/>
  <c r="K24" i="3"/>
  <c r="G144" i="3"/>
  <c r="K176" i="3"/>
  <c r="K211" i="3"/>
  <c r="K179" i="3"/>
  <c r="N18" i="5" s="1"/>
  <c r="K31" i="3"/>
  <c r="N6" i="5" s="1"/>
  <c r="K66" i="3"/>
  <c r="N7" i="5" s="1"/>
  <c r="N20" i="5"/>
  <c r="G108" i="3"/>
  <c r="K108" i="3" s="1"/>
  <c r="K167" i="3"/>
  <c r="K256" i="3" l="1"/>
  <c r="L8" i="5"/>
  <c r="L21" i="5" s="1"/>
  <c r="N21" i="5"/>
  <c r="K258" i="3"/>
  <c r="K149" i="3"/>
  <c r="M18" i="5" s="1"/>
  <c r="K192" i="3"/>
  <c r="K11" i="3"/>
  <c r="M6" i="5" s="1"/>
  <c r="K50" i="3"/>
  <c r="K104" i="3"/>
  <c r="K203" i="3"/>
  <c r="K197" i="3" l="1"/>
  <c r="M20" i="5"/>
  <c r="K259" i="3"/>
  <c r="O18" i="5"/>
  <c r="O21" i="5" s="1"/>
  <c r="K89" i="3"/>
  <c r="M8" i="5"/>
  <c r="K45" i="3"/>
  <c r="M7" i="5"/>
  <c r="K142" i="3"/>
  <c r="K6" i="3"/>
  <c r="K6" i="5" s="1"/>
  <c r="K257" i="3"/>
  <c r="M21" i="5" l="1"/>
  <c r="K261" i="3"/>
  <c r="K272" i="3" s="1"/>
  <c r="P45" i="3"/>
  <c r="K7" i="5"/>
  <c r="F7" i="6" s="1"/>
  <c r="L7" i="6" s="1"/>
  <c r="P142" i="3"/>
  <c r="K18" i="5"/>
  <c r="F9" i="6" s="1"/>
  <c r="L9" i="6" s="1"/>
  <c r="F6" i="6"/>
  <c r="L6" i="6" s="1"/>
  <c r="P197" i="3"/>
  <c r="K20" i="5"/>
  <c r="F10" i="6" s="1"/>
  <c r="L10" i="6" s="1"/>
  <c r="P89" i="3"/>
  <c r="K8" i="5"/>
  <c r="F8" i="6" s="1"/>
  <c r="L8" i="6" s="1"/>
  <c r="O198" i="3"/>
  <c r="K254" i="3"/>
  <c r="P6" i="3"/>
  <c r="K263" i="3" l="1"/>
  <c r="K21" i="5"/>
  <c r="F6" i="5"/>
  <c r="F21" i="5" s="1"/>
</calcChain>
</file>

<file path=xl/comments1.xml><?xml version="1.0" encoding="utf-8"?>
<comments xmlns="http://schemas.openxmlformats.org/spreadsheetml/2006/main">
  <authors>
    <author>tc={F8072A0B-60C5-49FC-9F68-4496019F64CB}</author>
    <author>31</author>
    <author>tc={DC496924-71F7-41FB-8A72-E4D95F2AA421}</author>
    <author>tc={5C0C242A-1959-4BE6-9E78-23EEEC7AE5D4}</author>
    <author>tc={7412E827-AA66-4E9B-8A14-F388F388A2BD}</author>
    <author>tc={377D29CB-6B5E-46DE-83C3-DDAD41C24038}</author>
  </authors>
  <commentList>
    <comment ref="I9"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Vị trí Trục đường nào a</t>
        </r>
      </text>
    </comment>
    <comment ref="B44" authorId="1">
      <text>
        <r>
          <rPr>
            <b/>
            <sz val="9"/>
            <color indexed="81"/>
            <rFont val="Tahoma"/>
            <family val="2"/>
          </rPr>
          <t>31:</t>
        </r>
        <r>
          <rPr>
            <sz val="9"/>
            <color indexed="81"/>
            <rFont val="Tahoma"/>
            <family val="2"/>
          </rPr>
          <t xml:space="preserve">
</t>
        </r>
      </text>
    </comment>
    <comment ref="I48" authorId="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Ghi rõ trục đường áp giá</t>
        </r>
      </text>
    </comment>
    <comment ref="B88" authorId="1">
      <text>
        <r>
          <rPr>
            <b/>
            <sz val="9"/>
            <color indexed="81"/>
            <rFont val="Tahoma"/>
            <family val="2"/>
          </rPr>
          <t>31:</t>
        </r>
        <r>
          <rPr>
            <sz val="9"/>
            <color indexed="81"/>
            <rFont val="Tahoma"/>
            <family val="2"/>
          </rPr>
          <t xml:space="preserve">
</t>
        </r>
      </text>
    </comment>
    <comment ref="I100" authorId="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GHI RÕ TRỤC ĐƯỜNG</t>
        </r>
      </text>
    </comment>
    <comment ref="I145" authorId="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GHI RÕ TRỤC ĐƯỜNG Vị trí đất</t>
        </r>
      </text>
    </comment>
    <comment ref="B196" authorId="1">
      <text>
        <r>
          <rPr>
            <b/>
            <sz val="9"/>
            <color indexed="81"/>
            <rFont val="Tahoma"/>
            <family val="2"/>
          </rPr>
          <t>31:</t>
        </r>
        <r>
          <rPr>
            <sz val="9"/>
            <color indexed="81"/>
            <rFont val="Tahoma"/>
            <family val="2"/>
          </rPr>
          <t xml:space="preserve">
</t>
        </r>
      </text>
    </comment>
    <comment ref="I200" authorId="5">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Ghi rõ vị trí đất
</t>
        </r>
      </text>
    </comment>
    <comment ref="B251" authorId="1">
      <text>
        <r>
          <rPr>
            <b/>
            <sz val="9"/>
            <color indexed="81"/>
            <rFont val="Tahoma"/>
            <family val="2"/>
          </rPr>
          <t>31:</t>
        </r>
        <r>
          <rPr>
            <sz val="9"/>
            <color indexed="81"/>
            <rFont val="Tahoma"/>
            <family val="2"/>
          </rPr>
          <t xml:space="preserve">
</t>
        </r>
      </text>
    </comment>
  </commentList>
</comments>
</file>

<file path=xl/sharedStrings.xml><?xml version="1.0" encoding="utf-8"?>
<sst xmlns="http://schemas.openxmlformats.org/spreadsheetml/2006/main" count="638" uniqueCount="288">
  <si>
    <t xml:space="preserve"> BIỂU CHI TIẾT  TÍNH TOÁN BỒI THƯỜNG, HỖ TRỢ, TÁI ĐỊNH CƯ</t>
  </si>
  <si>
    <t>ĐVT</t>
  </si>
  <si>
    <t>STT</t>
  </si>
  <si>
    <t>TBĐ</t>
  </si>
  <si>
    <t>Thửa</t>
  </si>
  <si>
    <t>Mức HT</t>
  </si>
  <si>
    <t>a</t>
  </si>
  <si>
    <t>b</t>
  </si>
  <si>
    <t>c</t>
  </si>
  <si>
    <t>d</t>
  </si>
  <si>
    <t xml:space="preserve">Bồi thường về cây trồng, vật nuôi: </t>
  </si>
  <si>
    <r>
      <t>m</t>
    </r>
    <r>
      <rPr>
        <vertAlign val="superscript"/>
        <sz val="12"/>
        <color theme="1"/>
        <rFont val="Times New Roman"/>
        <family val="1"/>
      </rPr>
      <t>2</t>
    </r>
  </si>
  <si>
    <t>Cây</t>
  </si>
  <si>
    <t>Hỗ trợ đào tạo, chuyển đổi nghề và tìm kiếm việc làm đối với  trường hợp thu hồi đất nông nghiệp:</t>
  </si>
  <si>
    <t xml:space="preserve">Bồi thường thiệt hại về nhà, công trình xây dựng: </t>
  </si>
  <si>
    <t>Lò Thị Diện</t>
  </si>
  <si>
    <t>Đất trồng cây hàng năm</t>
  </si>
  <si>
    <t>m3</t>
  </si>
  <si>
    <t>Quàng Thị Ngắm</t>
  </si>
  <si>
    <t>Bán mái khung sắt, lập tôn, nền đất không thưng Kt 8,4*5,3m</t>
  </si>
  <si>
    <t>hàng rào tre đan 3m cao 1,6m</t>
  </si>
  <si>
    <t>Đu đủ 2 cây</t>
  </si>
  <si>
    <t>Rau các loại 8m2</t>
  </si>
  <si>
    <t>Chuối 16 cây</t>
  </si>
  <si>
    <t>Mía 7 cây</t>
  </si>
  <si>
    <t>Giềng 20 m2</t>
  </si>
  <si>
    <t>Lường Thị Bình</t>
  </si>
  <si>
    <t>Ổi Nt10 5 cây</t>
  </si>
  <si>
    <t>Chuối 25 cây</t>
  </si>
  <si>
    <t>Khoai sọ 10m</t>
  </si>
  <si>
    <t>Đu đủ 5 cây</t>
  </si>
  <si>
    <t>Cây bưởi Nt5 5 cây</t>
  </si>
  <si>
    <t>Cây me Nt5 1 cây</t>
  </si>
  <si>
    <t>Cây mận Nt10 4 cây</t>
  </si>
  <si>
    <t>Cây táo Nt3 2 cây</t>
  </si>
  <si>
    <t>Cây ban Đk &gt; 20cm</t>
  </si>
  <si>
    <t>Thanh long Nt3 5 cây</t>
  </si>
  <si>
    <t>CLN</t>
  </si>
  <si>
    <t>LUK</t>
  </si>
  <si>
    <r>
      <t>m</t>
    </r>
    <r>
      <rPr>
        <vertAlign val="superscript"/>
        <sz val="12"/>
        <rFont val="Times New Roman"/>
        <family val="1"/>
      </rPr>
      <t>2</t>
    </r>
  </si>
  <si>
    <t>Lường Văn Tâm, Cà Thị Thắm</t>
  </si>
  <si>
    <t>md</t>
  </si>
  <si>
    <t>cây</t>
  </si>
  <si>
    <t>giảm trừ chát tường bên trong</t>
  </si>
  <si>
    <t>Giảm trừ chát tường bên ngoài</t>
  </si>
  <si>
    <t>Giảm trừ bếp không đổ nền bằng bê tông</t>
  </si>
  <si>
    <r>
      <t>m</t>
    </r>
    <r>
      <rPr>
        <i/>
        <vertAlign val="superscript"/>
        <sz val="12"/>
        <color theme="1"/>
        <rFont val="Times New Roman"/>
        <family val="1"/>
      </rPr>
      <t>2</t>
    </r>
  </si>
  <si>
    <t>Giảm trừ trần nhựa</t>
  </si>
  <si>
    <t>Giảm trừ chiều cao tường 110</t>
  </si>
  <si>
    <t>Kg</t>
  </si>
  <si>
    <t>Cà tím 10m</t>
  </si>
  <si>
    <t>Sả 15m</t>
  </si>
  <si>
    <t>Giảm trừ nhà vệ sinh khép kín</t>
  </si>
  <si>
    <t>Bán mái 10,2 x 5,2m lập tôn cột sắt, nền bê tông</t>
  </si>
  <si>
    <t>Giảm trừ chuồng gà không đổ nền bằng bê tông</t>
  </si>
  <si>
    <t>Giếng đào đường kính 1,2*10m, không nắp BTCT</t>
  </si>
  <si>
    <t>Trụ cổng xây 0,35 x 0,35 x 2,5m ( hai trụ) có Lu sơn</t>
  </si>
  <si>
    <t>Lưới B40 cao 1,2m dài 8,2m cọc gỗ</t>
  </si>
  <si>
    <t>trụ</t>
  </si>
  <si>
    <t xml:space="preserve">Cánh cổng sắt hàn B40 1,5 x 2 x2 cánh </t>
  </si>
  <si>
    <t>Giảm trừ bán mái không đổ nền bằng bê tông</t>
  </si>
  <si>
    <t>Giảm trừ không quét vôi ve bên ngoài nhà</t>
  </si>
  <si>
    <t>Giảm trừ không quét vôi ve bên trong nhà</t>
  </si>
  <si>
    <t>Tăng Bể tự hoại độc lập (đã bao gồm trát, đánh màu hoàn thiện): đáy bể BTCT tường xây gạch 220mm, giằng tường BTCT; mái, nắp BTCT, nhà vệ sinh, nhà tắm Kt 2*2*1,2m</t>
  </si>
  <si>
    <t xml:space="preserve">Nhà 7,2 x 9,20 xây tường 110 móng bê tông cốt thép cao 1,2m nhà cao 4,2m, sà gố vì kèo thép hộp, mái lập tôn, nền lát gạch hoa, cửa đi bên trong pa nô kính , hệ thống điện hoàn chỉnh, </t>
  </si>
  <si>
    <t>Nhà tường xây 110, 4,2 x 4,2. móng 30 bê tông cốt thép cao 1,2m, lu sơn, sà gố vì kèo thép hộp, mái lập tôn, nền lát gạch hoa, cửa đi bên trong pa nô kính, có hệ thống điện hoàn chỉnh, cao 3,7m</t>
  </si>
  <si>
    <t>Giảm trừ tường đầu hồi hai bên 220 cm</t>
  </si>
  <si>
    <t>Giảm trừ nhà vệ xinh khép kín</t>
  </si>
  <si>
    <t>Tường xây 110 gạch ba banh Kt 2,3+2,7m cao 1,1m cả móng</t>
  </si>
  <si>
    <t>m</t>
  </si>
  <si>
    <t>Hàng rào tre đan Kt 35m cao 1,5m,</t>
  </si>
  <si>
    <t>Xả 110 m2</t>
  </si>
  <si>
    <t>Xoan đường kính &gt;15 cm</t>
  </si>
  <si>
    <t>Cm</t>
  </si>
  <si>
    <t>Bụi</t>
  </si>
  <si>
    <t>Cây Ban &gt;10 cm</t>
  </si>
  <si>
    <t>Xoài Nt3 01 cây</t>
  </si>
  <si>
    <t>Ổi NT2 01 cây</t>
  </si>
  <si>
    <t>Chuối 10 cây</t>
  </si>
  <si>
    <t>Nhãn Nt1 01 cây</t>
  </si>
  <si>
    <t>Giảm trừ thiếu gạch cremic lát nền tầng 1+2</t>
  </si>
  <si>
    <t>Giảm trừ thiếu lu sơn bên trong</t>
  </si>
  <si>
    <t>Giảm trừ thiếulu sơn bên ngoài</t>
  </si>
  <si>
    <t>Hàng rào tre đan dài 13m cao 1,45m</t>
  </si>
  <si>
    <t>Bán mái cột xây xà gỗ lợp fibroximmang; nền láng vữa xi măng kt 4,5*3,5 m</t>
  </si>
  <si>
    <t>Sân bê tông xi măng  kt 4,8*4,4</t>
  </si>
  <si>
    <t>Chuồng gà cột tre, thưmg gỗ sàn gỗ kt 2,2*2 m</t>
  </si>
  <si>
    <t>Cây xoài Nt15 02 cây</t>
  </si>
  <si>
    <t>Cây xoài Nt10 01 cây</t>
  </si>
  <si>
    <t>Nhãn NT8 2 cây</t>
  </si>
  <si>
    <t>Nhãn Nt5 01 cây</t>
  </si>
  <si>
    <t>kg</t>
  </si>
  <si>
    <t>Cây ban đk 5-10 cm 02 cây</t>
  </si>
  <si>
    <t>Chanh Nt3 01 cây</t>
  </si>
  <si>
    <t>Chuồng trâu, cột gỗ, xà gỗ nền bê tông Kt 4,3*4,5m</t>
  </si>
  <si>
    <t>Lưới b40 cột bê tông cốt thép Kt 22m cao 1,5m</t>
  </si>
  <si>
    <t>Nhãn Nt14 10 cây</t>
  </si>
  <si>
    <t>Đinh lăng Nt3 1 cây</t>
  </si>
  <si>
    <t>Ổi Nt2 2 cây</t>
  </si>
  <si>
    <t>Rau các loại 6m2</t>
  </si>
  <si>
    <t>Thanh long nt10 10 1 khóm</t>
  </si>
  <si>
    <t>Lựu Nt10 1 cây</t>
  </si>
  <si>
    <t>Gỗ thường đường kính&gt;20cm 1 cây</t>
  </si>
  <si>
    <t>Cây mít Nt7 1 cây</t>
  </si>
  <si>
    <t>Gỗ thường đường kính 5-10cm 3 cây</t>
  </si>
  <si>
    <t>Chuối 7 cây</t>
  </si>
  <si>
    <t>Đu đủ nhỏ 4 cây</t>
  </si>
  <si>
    <t>Chanh leo 1 khóm</t>
  </si>
  <si>
    <t>Dứa 5 cây</t>
  </si>
  <si>
    <t>Nhà để rơm cột gỗ tròn, lập froximang, xà gỗ nền đất kt 6,6*6,6m</t>
  </si>
  <si>
    <t>Hoa hồng 3 cây</t>
  </si>
  <si>
    <t>Riềng 4m</t>
  </si>
  <si>
    <t>Tre bụi 01 Nt3</t>
  </si>
  <si>
    <t>Giảm trừ nền bê tông</t>
  </si>
  <si>
    <t>Mít năm thứ 10: 1 cây</t>
  </si>
  <si>
    <t>Chuồng lợn cột gỗ, xà tre, thưng tre cao 80cm, nền bê tông, lập froximang Kt 3,5*3</t>
  </si>
  <si>
    <t>Sân bê tông kt 2,2*2,2m</t>
  </si>
  <si>
    <t>Rong riềng 2 m2</t>
  </si>
  <si>
    <t>Riềng 1 m2</t>
  </si>
  <si>
    <t>Đu đủ 1 cây</t>
  </si>
  <si>
    <t>Gừng 1m2</t>
  </si>
  <si>
    <t>cây mắc ten ĐKT 10-20 cm: 1 cây</t>
  </si>
  <si>
    <t>Cây vả ĐKT 5-10cm 1 cây</t>
  </si>
  <si>
    <t>Cây vả ĐKT 10-20cm 1 cây</t>
  </si>
  <si>
    <t>Rau các loại 5 m2</t>
  </si>
  <si>
    <t>Chanh Nt110 1 cây</t>
  </si>
  <si>
    <t>Nhãn Nt5 1 cây</t>
  </si>
  <si>
    <t>Bưởi Nt10 1 cây</t>
  </si>
  <si>
    <t>Xoài Nt6 1 cây</t>
  </si>
  <si>
    <t>Trụ cổng xây gạch chát xi măng Kt 0,33*0,33*1,9m: 2 trụ</t>
  </si>
  <si>
    <t>Cánh cổng sắt KT 0,9*1,7*2</t>
  </si>
  <si>
    <t>Bưởi Nt4 01 cây</t>
  </si>
  <si>
    <t>Nhà sàn, cột bê tông cốt thép, sàn bê tông cốt thép, xây tường 110, xà sắt, kèo sắt, lập tôn chống nóng, lan can sắt hộp, cầu thang bê tông cốt thép, cửa khung sắt, không lu sơn, nhà vệ sinh khép kín, trát tường bên trong, bên ngoài không trát Kt 11,8*8,4m</t>
  </si>
  <si>
    <t>Giảm trừ thiếu trát tường ngoài bằng vữa xi măng</t>
  </si>
  <si>
    <t xml:space="preserve">Chuối 7 cây </t>
  </si>
  <si>
    <t>Cây trứng gà NT10: 1 cây</t>
  </si>
  <si>
    <t>Cây xoài NT8 2 cây</t>
  </si>
  <si>
    <t>Bưởi Nt7 5 cây</t>
  </si>
  <si>
    <t>Ổi NT2 02 cây</t>
  </si>
  <si>
    <t>Cà  pháo 2 m2</t>
  </si>
  <si>
    <t>Giảm trừ cửa sắt xếp</t>
  </si>
  <si>
    <t>Giảm trừ thiếu gạch cremic cầu thang</t>
  </si>
  <si>
    <t>Cây ban ĐKT &lt;5 cm: 02 cây</t>
  </si>
  <si>
    <t>Mít Nt14 2 cây</t>
  </si>
  <si>
    <t>Tường xây 110 gạch không nung kt 6m cao 2,9m</t>
  </si>
  <si>
    <t>Tường xây 110 gạch không nung kt 6m cao 2,2m</t>
  </si>
  <si>
    <t>Tường xây 110 gạch không nung kt 8,6m cao 1,4m</t>
  </si>
  <si>
    <t>Cây cảnh trồng đất 01 cây đường kính tán lá ≥ 150 cm</t>
  </si>
  <si>
    <t>Nhà xây tường 110 cao 1m thưng tôn, khung sắt, lợpp tôn chống nóng, cửa nhôm, cao 3,3m nền bê tông Kt 8,4*5,3m, hệ thống điện hoàn chỉnh</t>
  </si>
  <si>
    <t xml:space="preserve">Chuồng trâu khung cột tre, vì kèo tre, nền đất, mái broximang 3,3 x 3,1 </t>
  </si>
  <si>
    <t>Bán mái lợp broximang tường xây gạch 110, xà tre, nền xi măng Kt 2,4*4,5</t>
  </si>
  <si>
    <t>Bán mái kèo sắt, cột sắt, nền xi măng lợp tôn KT 2,7*4,7m</t>
  </si>
  <si>
    <t>Đất chuyên trồng lúa nước vị trí 1 (áp giá theo Nghị Quyết 28/2025/NQ-HĐND, ngày 25/12/2025 của Hội đồng nhân dân tỉnh Điện Biên và QĐ 21/2026/QĐ-UBND, ngày 30/3/2026 của UBND tỉnh quy định hệ số điều chỉnh giá đất K=1)</t>
  </si>
  <si>
    <t>Đất trồng cây hàng năm khác vị trí 1 (áp giá theo Nghị Quyết 28/2025/NQ-HĐND, ngày 25/12/2025 của Hội đồng nhân dân tỉnh Điện Biên và QĐ 21/2026/QĐ-UBND, ngày 30/3/2026 của UBND tỉnh quy định hệ số điều chỉnh giá đất K=1)</t>
  </si>
  <si>
    <t>Đất trồng cây lâu năm vị trí 1 (áp giá theo Nghị Quyết 28/2025/NQ-HĐND, ngày 25/12/2025 của Hội đồng nhân dân tỉnh Điện Biên và QĐ 21/2026/QĐ-UBND, ngày 30/3/2026 của UBND tỉnh quy định hệ số điều chỉnh giá đất K=1)</t>
  </si>
  <si>
    <t>bán mái cột gỗ, lợp broximang nền bê tông Kt 7,5*3,3m</t>
  </si>
  <si>
    <t>Chuồng gà lợp broximang, quay liếp tre, cột gỗ, nền be tông Kt 2,8*5m</t>
  </si>
  <si>
    <t>Chuồng gà lợp broximang, quay liếp tre, cột gỗ, nền be tông Kt 2,9*1,4m</t>
  </si>
  <si>
    <t>Chuồng gà lợp broximang, quay liếp tre, cột gỗ, nền be tông Kt 4,3*3m</t>
  </si>
  <si>
    <t>Chuồng lợn lợp broximang, tường xây 110, nền bê tông, cột xây, cửa gỗ Kt 7*3,5m</t>
  </si>
  <si>
    <t>Chuồng lợn tường 110 kt 4,6m x 3m, vì kèo cột tre, lợp broximang, nền bê tông, cửa gỗ</t>
  </si>
  <si>
    <t>Chuồng trâu khung cột tre, vì kèo tre, nền đất, mái broximang 4,1*7,3</t>
  </si>
  <si>
    <t>Chuồng lợn xây tường 110 không chát cột xây, xà gỗ, lợp broximang, cửa thép hộp kt 3,5*6 m</t>
  </si>
  <si>
    <t>Bếp khung cột gỗ, thưng liếp, cửa tre, lợp broximang, nền bê tông Kt 4*2,9m cao 2,2m, hệ thống điện hàn chỉnh</t>
  </si>
  <si>
    <t>HNK</t>
  </si>
  <si>
    <t>Tường xây gạch nung 110 cao 2,5 kt ( 8,6*2) + (2,9*2)</t>
  </si>
  <si>
    <t>Tường xây gạch nung 110 trát tường bên ngoài Kt (6,4*2)+(4,5*2) cao 3,1m</t>
  </si>
  <si>
    <t>Chuồng lơn lợp broximang,Khung cột tre, thưng gỗ, sàn gỗ Kt 3*5m</t>
  </si>
  <si>
    <t>Chuồng gà lợp broximang,Khung cột tre, nền đất Kt 4*4m</t>
  </si>
  <si>
    <t>Tường xây gạch không nung tường 110 cao 1,2m lưới B40 cao 1m (tổng cao 2,2m) KT 17,7m</t>
  </si>
  <si>
    <t>Bán mái lợp broximang , cột gỗ, xà tre, nền bê tông Kt 4,1*3m</t>
  </si>
  <si>
    <t>giảm trừ lu sơn</t>
  </si>
  <si>
    <t>Dự án: Trường nội trú liên cấp tiểu học và trung học phổ thông Núa Ngam</t>
  </si>
  <si>
    <t>Đất trồng lúa nước còn lại vị trí 1 (áp giá theo Nghị Quyết 28/2025/NQ-HĐND, ngày 25/12/2025 của Hội đồng nhân dân tỉnh Điện Biên và QĐ 21/2026/QĐ-UBND, ngày 30/3/2026 của UBND tỉnh quy định hệ số điều chỉnh giá đất K=1)</t>
  </si>
  <si>
    <t>Sa nhan Nt4 31 cây</t>
  </si>
  <si>
    <t>Me Nt 10: 06 cây</t>
  </si>
  <si>
    <t>Theo công văn số 557/UBND-KT, ngày 31/3/2026 của UBND xã Núa Ngam. Thửa đất trên do ông Lò Văn Sơn khai hoang và sử dụng vào mục đích đất ở nông thôn (ONT) và đất trồng cây hàng năm khác (HNK) từ khoảng tháng 12/2000. Ông Lò Văn Sơn quản lý và sử dụng ổn định từ đó đến nay, thửa đất chưa được cấp GCNQSĐ.</t>
  </si>
  <si>
    <r>
      <t>m</t>
    </r>
    <r>
      <rPr>
        <i/>
        <vertAlign val="superscript"/>
        <sz val="12"/>
        <color rgb="FFFF0000"/>
        <rFont val="Times New Roman"/>
        <family val="1"/>
      </rPr>
      <t>2</t>
    </r>
  </si>
  <si>
    <t>Giảm trừ lu sơn tường trong</t>
  </si>
  <si>
    <t>Giảm trừ lu sơn tường ngoài</t>
  </si>
  <si>
    <t>Giảm trừ Cửa đi bê trong bằng gỗ pano kính (không có đơn giá)</t>
  </si>
  <si>
    <t>Cửa đi bằng gỗ: 2*0,9m</t>
  </si>
  <si>
    <t>Giảm trừ cổng cửa sắt xếp</t>
  </si>
  <si>
    <t>Giảm trừ nền lát gạch ceramic</t>
  </si>
  <si>
    <t>Giảm trừ vì kèo, xà gồ thép hộp</t>
  </si>
  <si>
    <t>Chênh lệch mái lợp tôn và mái lợp fibroximang</t>
  </si>
  <si>
    <t>Giảm trừ Trần nhựa</t>
  </si>
  <si>
    <t>Giảm trừ cửa đi thép hộp trên kính dưới tôn</t>
  </si>
  <si>
    <t>Tính bổ sung cửa đi khung thép hình thưng tôn</t>
  </si>
  <si>
    <t>Nhà tắm, nhà vệ sinh tường 110, bể phốt, ốp gạch cramic, cửa sắt (0,8*2) mái Broximang, móng xây gạch 40cm, chiều cao 2,5m dài 4,3m x 3,3m</t>
  </si>
  <si>
    <t>Tường xây quanh nhà vệ sinh xây tường 110mm cao 2,5m dài ((4,3+3,3)*2)-0,8</t>
  </si>
  <si>
    <t>ốp tường gạch ceramic</t>
  </si>
  <si>
    <t>Mái lợp fibroximang</t>
  </si>
  <si>
    <r>
      <t>m</t>
    </r>
    <r>
      <rPr>
        <vertAlign val="superscript"/>
        <sz val="12"/>
        <color theme="1"/>
        <rFont val="Times New Roman"/>
        <family val="1"/>
      </rPr>
      <t>3</t>
    </r>
  </si>
  <si>
    <t>tường 110mm xây gạch block không trát, không sơn</t>
  </si>
  <si>
    <t>Giảm trừ trát tường</t>
  </si>
  <si>
    <t>Giảm trừ sơn tường</t>
  </si>
  <si>
    <t>đ</t>
  </si>
  <si>
    <t>Địa chỉ thường trú: Bản Ten Núa, xã Núa Ngam; Số CCCD:</t>
  </si>
  <si>
    <t>Địa chỉ thường trú: Bản Ten Núa, xã Núa Ngam; Số CCCD:011193002554</t>
  </si>
  <si>
    <t xml:space="preserve">Theo công văn số 557/UBND-KT, ngày 31/3/2026 của UBND xã Núa Ngam. Thửa đất trên do ông Quàng Văn Phích và Bà Quàng Thị Vét khai hoang và sử dụng vào mục đích đất chuyên trồng lúa nước (LUC) và đất trồng cây hàng năm khác (HNK) từ năm 1976. Khoảng năm 2000 ông Phích dựng nhà ở tại thửa đất số 127. Đến năm 2011 ông Quàng Văn Phích chết, bà Quàng Thị Vét tiếp tục quản lý, sử dụng các thửa đất trên. Đến năm 2012 bà Quàng Thị Vét tặng cho quyền sử dụng đất các thửa đất trên cho ông Lường Văn Tâm quản lý và sử dụng ổn định từ đó đến nay (tại thời điểm tặng cho không có giấy tờ, văn bản gì). Các thửa đất chưa được cấp GCNQSĐ. (Ông Lường Văn Tâm là cháu của ông Quàng Văn Phích và ở với ông Phích từ nhỏ).
</t>
  </si>
  <si>
    <t>Địa chỉ thường trú: Bản Ten Núa, xã Núa Ngam; Số CCCD: 011163001146</t>
  </si>
  <si>
    <t>ONT</t>
  </si>
  <si>
    <t>LUC</t>
  </si>
  <si>
    <t>Theo công văn số 557/UBND-KT, ngày 31/3/2026 của UBND xã Núa Ngam. Thửa đất trên do ông Quàng Văn Phích và Bà Quàng Thị Vét khai hoang và sử dụng ổn định vào  mục đích Đất chuyên trồng lúa nước (LUC), Đất trồng cây hàng năm khác (HNK), Đất trồng lúa nước còn lại (LUK) từ năm 1976. Đến tháng 3 năm 2001 ông Quàng Văn Phích tặng quyền sử dụng đất các thửa đất trên cho bà Quàng Thị Ngắm quản lý và sử dụng, bà Quàng Thị Ngắm sử dụng thửa đất số 85 vào mục đích đất ở nông thôn (ONT) từ đó đến nay (Thời điểm tặng cho không có giấy tờ gì). Các thửa đất chưa được cấp GCNQSĐ.</t>
  </si>
  <si>
    <r>
      <t>m</t>
    </r>
    <r>
      <rPr>
        <i/>
        <vertAlign val="superscript"/>
        <sz val="12"/>
        <rFont val="Times New Roman"/>
        <family val="1"/>
      </rPr>
      <t>2</t>
    </r>
  </si>
  <si>
    <t xml:space="preserve">Đất chuyên trồng lúa nước vị trí 1 </t>
  </si>
  <si>
    <t>Đất trồng lúa nước còn lại vị trí 1</t>
  </si>
  <si>
    <t>Đất chuyên trồng lúa nước vị trí 1</t>
  </si>
  <si>
    <t xml:space="preserve">Đất trồng cây hàng năm khác vị trí 1 </t>
  </si>
  <si>
    <t>Đất trồng cây lâu năm vị trí 1</t>
  </si>
  <si>
    <t>Đất trồng cây hàng năm khác vị trí 1</t>
  </si>
  <si>
    <t>Địa chỉ thường trú: Bản Ten Núa, xã Núa Ngam; Số CCCD: 011173001605</t>
  </si>
  <si>
    <r>
      <t xml:space="preserve">Công văn số 557/UBND-KT ngày 31/3/2026 của UBND xã Núa Ngam xác nhận: Số nhân khẩu trực tiếp trên thửa đất bị thu hồi 1 khẩu. Không có nhân khẩu nào được hưởng lương từ ngân sách Nhà nước, hưởng lương hưu, nghỉ mất sức lao động, thôi việc được hưởng trợ cấp bải biểm xã hội hằng tháng, lao động có hợp đồng lao động không xác định thời hạn. </t>
    </r>
    <r>
      <rPr>
        <b/>
        <i/>
        <sz val="12"/>
        <color theme="1"/>
        <rFont val="Times New Roman"/>
        <family val="1"/>
      </rPr>
      <t>Đủ điều kiện hỗ trợ theo Điều 22, Nghị định 88/2024/NĐ-CP ngày 15/7/2024. Hỗ trợ theo Điều 15, Quyết định 37/2024/QĐ-UBND ngày 14/10/2024 của UBND tỉnh Điện Biên</t>
    </r>
  </si>
  <si>
    <t>Theo công văn số 557/UBND-KT, ngày 31/3/2026 của UBND xã Núa Ngam. Thửa đất trên do bà Lò Thị Bum khai hang và sử dụng vào mục đích trồng cây hàng năm khác từ năm 1976. Đến năm 2005 chuyển nhượng cho bà Lường Thị Bình (Thời điểm chuyển nhượng không có giấy tờ gì). Bà Lường Thi Bình dựng nhà và sử dụng đất vào mục đích đất ở nông thôn (ONT) tại thửa 111, thửa đất số 110 sử dụng vào mục đích đất trồng cây hàng năm khác (HNK) từ năm 2005 đến nay, các thửa đất chưa được cấp GCNQSĐ.</t>
  </si>
  <si>
    <r>
      <t xml:space="preserve">Bồi thường về đất: </t>
    </r>
    <r>
      <rPr>
        <sz val="12"/>
        <color theme="1"/>
        <rFont val="Times New Roman"/>
        <family val="1"/>
      </rPr>
      <t>Đủ điều kiện cấp GCN theo khoản 3, điều 138, Luật đất đai 2024. Đủ điều kiện bồi thường về đất theo điều 95 Luật đất đai 2024, Điều 5 Nghị định 88/2024/NĐ-CP ngày 15/7/2024</t>
    </r>
  </si>
  <si>
    <r>
      <t>Bồi thường về đất:</t>
    </r>
    <r>
      <rPr>
        <sz val="12"/>
        <color theme="1"/>
        <rFont val="Times New Roman"/>
        <family val="1"/>
      </rPr>
      <t xml:space="preserve"> Đủ điều kiện cấp GCN theo khoản 3, điều 138, Luật đất đai 2024. Đủ điều kiện bồi thường về đất theo điều 95 Luật đất đai 2024, Điều 5 Nghị định 88/2024/NĐ-CP ngày 15/7/2024</t>
    </r>
  </si>
  <si>
    <t>Theo công văn số 557/UBND-KT, ngày 31/3/2026 của UBND xã Núa Ngam. Theo công văn số 150/UBND-KT, ngày 30/01/2026 của UBND xã Núa Ngam. Thửa đất trên do ông Lò Văn Hươi khai hoang và sử dụng vào mục đích đất trồng cây hàng năm khác (HNK) từ năm 1985. Đến năm 2013 ông Lò Văn Hươi tặng cho quyền sử dụng đất cho bà Lò Thị Diện quản lý và sử dụng (Thời điểm tặng cho không có giấy tờ gì) và bà Lò Thị Diện dựng nhà và sử dụng vào mục đích đất ở nông thôn (ONT) từ đó đến nay.</t>
  </si>
  <si>
    <r>
      <rPr>
        <b/>
        <sz val="12"/>
        <color theme="1"/>
        <rFont val="Times New Roman"/>
        <family val="1"/>
      </rPr>
      <t>Bồi thường về đất</t>
    </r>
    <r>
      <rPr>
        <sz val="12"/>
        <color theme="1"/>
        <rFont val="Times New Roman"/>
        <family val="1"/>
      </rPr>
      <t>: Đủ điều kiện cấp GCN theo khoản 3, điều 138, Luật đất đai 2024. Đủ điều kiện bồi thường về đất theo điều 95 Luật đất đai 2024, Điều 5 Nghị định 88/2024/NĐ-CP ngày 15/7/2024</t>
    </r>
  </si>
  <si>
    <r>
      <rPr>
        <b/>
        <sz val="12"/>
        <color theme="1"/>
        <rFont val="Times New Roman"/>
        <family val="1"/>
      </rPr>
      <t>Bồi thường về đất:</t>
    </r>
    <r>
      <rPr>
        <sz val="12"/>
        <color theme="1"/>
        <rFont val="Times New Roman"/>
        <family val="1"/>
      </rPr>
      <t xml:space="preserve"> Đủ điều kiện cấp GCN theo khoản 3, điều 138, Luật đất đai 2024. Đủ điều kiện bồi thường về đất theo điều 95 Luật đất đai 2024, Điều 5 Nghị định 88/2024/NĐ-CP ngày 15/7/2024</t>
    </r>
  </si>
  <si>
    <t>Hỗ trợ đào tạo, chuyển đổi nghề và tìm kiếm việc làm đối với  trường hợp thu hồi đất nông nghiệp: Không</t>
  </si>
  <si>
    <t>Móng nhà vệ sinh xây gạch 40cm</t>
  </si>
  <si>
    <t>-</t>
  </si>
  <si>
    <t>*</t>
  </si>
  <si>
    <t>Công văn số 557/UBND-KT ngày 31/3/2026 của UBND xã Núa Ngam xác nhận: Số nhân khẩu trực tiếp sản xuất trên thửa đất bị thu hồi 3 khẩu. Không có nhân khẩu nào được hưởng lương từ ngân sách Nhà nước, hưởng lương hưu, nghỉ mất sức lao động, thôi việc được hưởng trợ cấp bải biểm xã hội hằng tháng, lao động có hợp đồng lao động không xác định thời hạn. Đủ điều kiện hỗ trợ theo Điều 22, Nghị định 88/2024/NĐ-CP ngày 15/7/2024. Hỗ trợ theo Điều 15, Quyết định 37/2024/QĐ-UBND ngày 14/10/2024 của UBND tỉnh Điện Biên</t>
  </si>
  <si>
    <t>Địa chỉ thường trú: Bản Ten Núa, xã Núa Ngam; Số CCCD: 011060001179</t>
  </si>
  <si>
    <t>Lò Văn Sơn, Lò Thị Hương</t>
  </si>
  <si>
    <t>Công văn số 557/UBND-KT ngày 31/3/2026 của UBND xã Núa Ngam xác nhận: Số nhân khẩu trực tiếp sản xuất trên thửa đất bị thu hồi 2 khẩu. Không có nhân khẩu nào được hưởng lương từ ngân sách Nhà nước, hưởng lương hưu, nghỉ mất sức lao động, thôi việc được hưởng trợ cấp bải biểm xã hội hằng tháng, lao động có hợp đồng lao động không xác định thời hạn. Đủ điều kiện hỗ trợ theo Điều 22, Nghị định 88/2024/NĐ-CP ngày 15/7/2024. Hỗ trợ theo Điều 15, Quyết định 37/2024/QĐ-UBND ngày 14/10/2024 của UBND tỉnh Điện Biên</t>
  </si>
  <si>
    <t>Kè đá xếp khan Kt 49* cao 2m* rộng 0,7m</t>
  </si>
  <si>
    <t>Nội dung</t>
  </si>
  <si>
    <t>Số lượng, diện tích</t>
  </si>
  <si>
    <t xml:space="preserve">Năng xuất </t>
  </si>
  <si>
    <t>Đơn giá (đồng)</t>
  </si>
  <si>
    <t>Thành tiền     (đồng)</t>
  </si>
  <si>
    <t>Tờ BĐ</t>
  </si>
  <si>
    <t>ĐVT: vnđồng</t>
  </si>
  <si>
    <t xml:space="preserve">Nhà tường xây 110, nền bê tông, cột gỗ, lợp broximang, cửa sắt bắn tôn, tường cao 2.1m, quét vôi ve, không trát, quay tre 1m, nền be tông, không có hệ thồng nước, không nhà vệ sinh khép kín, hệ thồng điện hoàn chỉnh kt (7,6*10,9)m </t>
  </si>
  <si>
    <t>TT</t>
  </si>
  <si>
    <t>Họ và tên</t>
  </si>
  <si>
    <t>Diện tích thu hồi (m2)</t>
  </si>
  <si>
    <t>Số tiền bồi thường về đất ở</t>
  </si>
  <si>
    <t>Truy thu tiền sử dụng đất (đất có nhà ở sau ngày 15/10/1993 đến trước ngày 01/7/2014)</t>
  </si>
  <si>
    <t>Số tiền bồi thường về đất hộ gia đình thực lĩnh</t>
  </si>
  <si>
    <t>Đất ở, có nhà ở</t>
  </si>
  <si>
    <t>Đất nông nghiệp</t>
  </si>
  <si>
    <t>Đơn giá</t>
  </si>
  <si>
    <t>Mức truy thu</t>
  </si>
  <si>
    <t>Số thửa</t>
  </si>
  <si>
    <t>Diện tích thu hồi (m²)</t>
  </si>
  <si>
    <t>Loại đất</t>
  </si>
  <si>
    <t>Tổng kinh phí BT, HT</t>
  </si>
  <si>
    <t>Trong đó</t>
  </si>
  <si>
    <t>Về đất</t>
  </si>
  <si>
    <t>Tài sản VKT</t>
  </si>
  <si>
    <t>Cây trồng vật nuôi</t>
  </si>
  <si>
    <t>Chế độ hỗ trợ</t>
  </si>
  <si>
    <t>Hỗ trợ khác</t>
  </si>
  <si>
    <t>TỔNG CỘNG:</t>
  </si>
  <si>
    <t>ĐVT: đồng</t>
  </si>
  <si>
    <t xml:space="preserve"> TRƯỜNG NỘI TRÚ LIÊN CẤP TIỂU HỌC VÀ TRUNG HỌC PHỔ THÔNG NÚA NGAM</t>
  </si>
  <si>
    <t>BIỂU TỔNG HỢP PHƯƠNG ÁN BỒI THƯỜNG, HỖ TRỢ CỦA 05 HỘ GIA ĐÌNH, CÁ NHÂN CÓ ĐẤT THU HỒI THUỘC DỰ ÁN  TRƯỜNG NỘI TRÚ LIÊN CẤP TIỂU HỌC VÀ TRUNG HỌC PHỔ THÔNG NÚA NGAM</t>
  </si>
  <si>
    <t>(Kèm theo Công văn số            /CV-CNKV1 ngày       tháng 6 năm 2026 của Chi nhánh trung tâm Phát triển quỹ đất khu vực 1)</t>
  </si>
  <si>
    <t>Hỗ trợ khác:</t>
  </si>
  <si>
    <t xml:space="preserve"> BIỂU TRUY THU TIỀN SỬ DỤNG ĐẤT CỦA HỘ GIA ĐÌNH, CÁ NHÂN THU HỒI ĐẤT THUỘC DỰ ÁN </t>
  </si>
  <si>
    <t>(Kèm theo Công văn số      /CV-CNKV1 ngày    tháng 6 năm 2026 của Chi nhánh trung tâm Phát triển quỹ đất khu vực 1)</t>
  </si>
  <si>
    <t>Tổng số tiền bồi thường hỗ trợ</t>
  </si>
  <si>
    <t>(Kèm theo Công văn số …......./CV-CNKV1 ngày    tháng 6 năm 2026 của Chi nhánh Trung tâm phát triển quỹ đất khu vực 1)</t>
  </si>
  <si>
    <t>Số tiền sử dụng đất hộ gia đình, cá nhân phải làm nghĩa vụ tài chính với nhà nước</t>
  </si>
  <si>
    <t>Năm sử dụng đất</t>
  </si>
  <si>
    <t>Diện tích trong hạn mức</t>
  </si>
  <si>
    <t>Đất ở nông thôn (VT1). Đường đi Mường Lói (QL 279C): Đoạn từ Km 1 đến giáp địa phận xã Hẹ Muông (cũ) thuộc khu vực Xã Núa Ngam cũ. Truy thu tiền sử dụng đất (năm 2000) theo điểm a, khoản 3, Điều 10, nghị định số 103/2024/NĐ-CP ngày 30/7/2024.</t>
  </si>
  <si>
    <t>Đất ở nông thôn (VT1) Các vị trí còn lại trong xã thuộc khu vực Xã Núa Ngam cũ. Truy thu tiền sử dụng đất (năm 2001) theo điểm a, khoản 3, Điều 10, nghị định số 103/2024/NĐ-CP ngày 30/7/2024.</t>
  </si>
  <si>
    <t>Đất ở nông thôn (VT1). Các trục đường giao thông liên thôn, nội thôn bản còn lại thuộc khu vực Xã Núa Ngam cũ. Truy thu tiền sử dụng đất (năm 2013) theo khoản 4,  Điều 10, nghị định số 103/2024/NĐ-CP ngày 30/7/2024.</t>
  </si>
  <si>
    <t>Nhà 1 tầng, không có hiên tây, tường 110 mm, đầu hồi không tường 220 mm, quét vôi ve, vì kéo mái thép hộp, lập tôn chống nóng, cửa gỗ(2*0,9) chiều cao của nhà 3,2m, có hệ thống điện hoàn chỉnh, chưa có hệ thống nước sạch KT nhà 9,2*4,6m (Tài sản gắn liền với đất. Nhà cấp 4 hình thành năm 2013. Trước thời điểm ban hành Thông báo thu hồi đất, Chủ sử dụng đất vẫn sử dụng đất ổn định, đúng mục đích theo nguồn gốc đã kê khai).</t>
  </si>
  <si>
    <t>Đất ở nông thôn (VT1) Các trục đường giao thông liên thôn, nội thôn bản còn lại thuộc khu vực Xã Núa Ngam cũ. Truy thu tiền sử dụng đất (năm 2012) theo khoản 4, Điều 10, nghị định số 103/2024/NĐ-CP ngày 30/7/2024)</t>
  </si>
  <si>
    <t>Đất ở nông thôn (VT1) Các vị trí còn lại trong xã thuộc khu vực Xã Núa Ngam cũ. Truy thu tiền sử dụng đất (năm 2005) theo khoản 4, điều 10, nghị định số 103/2024/NĐ-CP ngày 30/7/2024.</t>
  </si>
  <si>
    <t>Cũ</t>
  </si>
  <si>
    <t>Chênh</t>
  </si>
  <si>
    <t>vd 236, xvi</t>
  </si>
  <si>
    <t>vd 250, xvi</t>
  </si>
  <si>
    <r>
      <t xml:space="preserve">Bếp lợp broximang, cột tre, thưng tre, nền đất  Kt 5,8*4,2m, không có hệ thống điện, </t>
    </r>
    <r>
      <rPr>
        <sz val="12"/>
        <color rgb="FFFF0000"/>
        <rFont val="Times New Roman"/>
        <family val="1"/>
      </rPr>
      <t>chiều cao 2,3m</t>
    </r>
  </si>
  <si>
    <t>Chênh lệch mái lợp tôn và mái fibro</t>
  </si>
  <si>
    <t>bể phốt xây t220 đáy nắp BTCT</t>
  </si>
  <si>
    <t>phần tường xây 110mm cao 1,2m</t>
  </si>
  <si>
    <r>
      <t>m</t>
    </r>
    <r>
      <rPr>
        <i/>
        <vertAlign val="superscript"/>
        <sz val="12"/>
        <color theme="1"/>
        <rFont val="Times New Roman"/>
        <family val="1"/>
      </rPr>
      <t>3</t>
    </r>
  </si>
  <si>
    <r>
      <t xml:space="preserve">Hàng rào 6m tường 110 cao 1,2m b40 </t>
    </r>
    <r>
      <rPr>
        <sz val="12"/>
        <color rgb="FFFF0000"/>
        <rFont val="Times New Roman"/>
        <family val="1"/>
      </rPr>
      <t xml:space="preserve">cọc sắt </t>
    </r>
    <r>
      <rPr>
        <sz val="12"/>
        <color theme="1"/>
        <rFont val="Times New Roman"/>
        <family val="1"/>
      </rPr>
      <t>1m (cao 2,2m)</t>
    </r>
  </si>
  <si>
    <r>
      <t>Phần tường lưới B40</t>
    </r>
    <r>
      <rPr>
        <i/>
        <sz val="12"/>
        <color rgb="FFFF0000"/>
        <rFont val="Times New Roman"/>
        <family val="1"/>
      </rPr>
      <t xml:space="preserve"> cọc sắt</t>
    </r>
  </si>
  <si>
    <t>Cây Xoài NT3: 7 cây</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</si>
</sst>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 #,##0.00_-;_-* &quot;-&quot;??_-;_-@_-"/>
    <numFmt numFmtId="165" formatCode="_-* #,##0\ _₫_-;\-* #,##0\ _₫_-;_-* &quot;-&quot;??\ _₫_-;_-@"/>
    <numFmt numFmtId="166" formatCode="#,##0.0"/>
    <numFmt numFmtId="167" formatCode="#,##0.000"/>
    <numFmt numFmtId="168" formatCode="_-* #,##0.0_-;\-* #,##0.0_-;_-* &quot;-&quot;??_-;_-@_-"/>
    <numFmt numFmtId="169" formatCode="_(* #,##0.0_);_(* \(#,##0.0\);_(* &quot;-&quot;?_);_(@_)"/>
    <numFmt numFmtId="170" formatCode="_-* #,##0_-;\-* #,##0_-;_-* &quot;-&quot;??_-;_-@_-"/>
    <numFmt numFmtId="171" formatCode="0.0"/>
  </numFmts>
  <fonts count="42" x14ac:knownFonts="1">
    <font>
      <sz val="11"/>
      <color theme="1"/>
      <name val="Calibri"/>
      <family val="2"/>
      <scheme val="minor"/>
    </font>
    <font>
      <sz val="11"/>
      <color theme="1"/>
      <name val="Calibri"/>
      <family val="2"/>
      <scheme val="minor"/>
    </font>
    <font>
      <b/>
      <sz val="12"/>
      <color theme="1"/>
      <name val="Times New Roman"/>
      <family val="1"/>
    </font>
    <font>
      <sz val="11"/>
      <color theme="1"/>
      <name val="Times New Roman"/>
      <family val="1"/>
    </font>
    <font>
      <b/>
      <sz val="13"/>
      <color theme="1"/>
      <name val="Times New Roman"/>
      <family val="1"/>
    </font>
    <font>
      <sz val="11"/>
      <name val="Arial"/>
      <family val="2"/>
    </font>
    <font>
      <sz val="12"/>
      <color theme="1"/>
      <name val="Times New Roman"/>
      <family val="1"/>
    </font>
    <font>
      <b/>
      <sz val="14"/>
      <color theme="1"/>
      <name val="Times New Roman"/>
      <family val="1"/>
    </font>
    <font>
      <i/>
      <sz val="13"/>
      <color theme="1"/>
      <name val="Times New Roman"/>
      <family val="1"/>
      <charset val="163"/>
    </font>
    <font>
      <sz val="13"/>
      <name val="Arial"/>
      <family val="2"/>
      <charset val="163"/>
    </font>
    <font>
      <i/>
      <sz val="12"/>
      <color theme="1"/>
      <name val="Times New Roman"/>
      <family val="1"/>
    </font>
    <font>
      <i/>
      <sz val="12"/>
      <color rgb="FFFF0000"/>
      <name val="Times New Roman"/>
      <family val="1"/>
    </font>
    <font>
      <b/>
      <sz val="12"/>
      <color rgb="FFFF0000"/>
      <name val="Times New Roman"/>
      <family val="1"/>
    </font>
    <font>
      <b/>
      <u/>
      <sz val="12"/>
      <color rgb="FFFF0000"/>
      <name val="Times New Roman"/>
      <family val="1"/>
    </font>
    <font>
      <b/>
      <u val="singleAccounting"/>
      <sz val="12"/>
      <color theme="1"/>
      <name val="Times New Roman"/>
      <family val="1"/>
    </font>
    <font>
      <vertAlign val="superscript"/>
      <sz val="12"/>
      <color theme="1"/>
      <name val="Times New Roman"/>
      <family val="1"/>
    </font>
    <font>
      <sz val="12"/>
      <name val="Times New Roman"/>
      <family val="1"/>
    </font>
    <font>
      <b/>
      <sz val="11"/>
      <color theme="1"/>
      <name val="Calibri"/>
      <family val="2"/>
      <scheme val="minor"/>
    </font>
    <font>
      <sz val="9"/>
      <color indexed="81"/>
      <name val="Tahoma"/>
      <family val="2"/>
    </font>
    <font>
      <b/>
      <sz val="9"/>
      <color indexed="81"/>
      <name val="Tahoma"/>
      <family val="2"/>
    </font>
    <font>
      <vertAlign val="superscript"/>
      <sz val="12"/>
      <name val="Times New Roman"/>
      <family val="1"/>
    </font>
    <font>
      <i/>
      <vertAlign val="superscript"/>
      <sz val="12"/>
      <color theme="1"/>
      <name val="Times New Roman"/>
      <family val="1"/>
    </font>
    <font>
      <i/>
      <sz val="11"/>
      <color theme="1"/>
      <name val="Calibri"/>
      <family val="2"/>
      <scheme val="minor"/>
    </font>
    <font>
      <sz val="8.25"/>
      <name val="Microsoft Sans Serif"/>
      <family val="2"/>
    </font>
    <font>
      <sz val="8"/>
      <name val="Calibri"/>
      <family val="2"/>
      <scheme val="minor"/>
    </font>
    <font>
      <sz val="13"/>
      <color theme="1"/>
      <name val="Times New Roman"/>
      <family val="1"/>
    </font>
    <font>
      <sz val="14"/>
      <name val="Times New Roman"/>
      <family val="1"/>
    </font>
    <font>
      <sz val="11"/>
      <name val="Calibri"/>
      <family val="2"/>
      <scheme val="minor"/>
    </font>
    <font>
      <i/>
      <sz val="11"/>
      <color theme="1"/>
      <name val="Times New Roman"/>
      <family val="1"/>
    </font>
    <font>
      <i/>
      <vertAlign val="superscript"/>
      <sz val="12"/>
      <color rgb="FFFF0000"/>
      <name val="Times New Roman"/>
      <family val="1"/>
    </font>
    <font>
      <i/>
      <sz val="11"/>
      <color rgb="FFFF0000"/>
      <name val="Calibri"/>
      <family val="2"/>
      <scheme val="minor"/>
    </font>
    <font>
      <i/>
      <sz val="12"/>
      <name val="Times New Roman"/>
      <family val="1"/>
    </font>
    <font>
      <i/>
      <vertAlign val="superscript"/>
      <sz val="12"/>
      <name val="Times New Roman"/>
      <family val="1"/>
    </font>
    <font>
      <b/>
      <i/>
      <sz val="12"/>
      <color theme="1"/>
      <name val="Times New Roman"/>
      <family val="1"/>
    </font>
    <font>
      <b/>
      <sz val="12"/>
      <name val="Times New Roman"/>
      <family val="1"/>
    </font>
    <font>
      <b/>
      <u/>
      <sz val="12"/>
      <name val="Times New Roman"/>
      <family val="1"/>
    </font>
    <font>
      <i/>
      <sz val="11"/>
      <name val="Times New Roman"/>
      <family val="1"/>
    </font>
    <font>
      <b/>
      <sz val="12"/>
      <name val="Times New Roman"/>
      <family val="1"/>
      <charset val="163"/>
    </font>
    <font>
      <sz val="12"/>
      <name val="Times New Roman"/>
      <family val="1"/>
      <charset val="163"/>
    </font>
    <font>
      <b/>
      <sz val="12"/>
      <color rgb="FF000000"/>
      <name val="Times New Roman"/>
      <family val="1"/>
    </font>
    <font>
      <i/>
      <sz val="12"/>
      <name val="Times New Roman"/>
      <family val="1"/>
      <charset val="163"/>
    </font>
    <font>
      <sz val="12"/>
      <color rgb="FFFF0000"/>
      <name val="Times New Roman"/>
      <family val="1"/>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FFFFFF"/>
        <bgColor rgb="FF000000"/>
      </patternFill>
    </fill>
    <fill>
      <patternFill patternType="solid">
        <fgColor rgb="FFFFFFFF"/>
        <bgColor rgb="FFFFFFFF"/>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3">
    <xf numFmtId="0" fontId="0" fillId="0" borderId="0"/>
    <xf numFmtId="164" fontId="1" fillId="0" borderId="0" applyFont="0" applyFill="0" applyBorder="0" applyAlignment="0" applyProtection="0"/>
    <xf numFmtId="0" fontId="23" fillId="0" borderId="0">
      <protection locked="0"/>
    </xf>
  </cellStyleXfs>
  <cellXfs count="315">
    <xf numFmtId="0" fontId="0" fillId="0" borderId="0" xfId="0"/>
    <xf numFmtId="0" fontId="5" fillId="2" borderId="0" xfId="0" applyFont="1" applyFill="1"/>
    <xf numFmtId="0" fontId="0" fillId="2" borderId="0" xfId="0" applyFill="1"/>
    <xf numFmtId="0" fontId="0" fillId="2" borderId="0" xfId="0" applyFill="1" applyAlignment="1">
      <alignment horizontal="center"/>
    </xf>
    <xf numFmtId="0" fontId="17" fillId="2" borderId="0" xfId="0" applyFont="1" applyFill="1"/>
    <xf numFmtId="0" fontId="0" fillId="2" borderId="0" xfId="0" applyFill="1" applyAlignment="1">
      <alignment horizontal="center" vertical="center"/>
    </xf>
    <xf numFmtId="166" fontId="0" fillId="2" borderId="0" xfId="0" applyNumberFormat="1" applyFill="1" applyAlignment="1">
      <alignment horizontal="center"/>
    </xf>
    <xf numFmtId="0" fontId="0" fillId="2" borderId="0" xfId="0" applyFill="1" applyAlignment="1">
      <alignment vertical="center"/>
    </xf>
    <xf numFmtId="167" fontId="0" fillId="2" borderId="0" xfId="0" applyNumberFormat="1" applyFill="1" applyAlignment="1">
      <alignment horizontal="center" vertical="center"/>
    </xf>
    <xf numFmtId="0" fontId="22" fillId="2" borderId="0" xfId="0" applyFont="1" applyFill="1"/>
    <xf numFmtId="0" fontId="22" fillId="0" borderId="0" xfId="0" applyFont="1"/>
    <xf numFmtId="168" fontId="0" fillId="2" borderId="0" xfId="1" applyNumberFormat="1" applyFont="1" applyFill="1" applyAlignment="1">
      <alignment horizontal="center" vertical="center"/>
    </xf>
    <xf numFmtId="0" fontId="27" fillId="2" borderId="0" xfId="0" applyFont="1" applyFill="1"/>
    <xf numFmtId="0" fontId="27" fillId="0" borderId="0" xfId="0" applyFont="1"/>
    <xf numFmtId="0" fontId="17" fillId="0" borderId="0" xfId="0" applyFont="1"/>
    <xf numFmtId="3" fontId="0" fillId="2" borderId="0" xfId="0" applyNumberFormat="1" applyFill="1" applyAlignment="1">
      <alignment horizontal="right"/>
    </xf>
    <xf numFmtId="0" fontId="30" fillId="2" borderId="0" xfId="0" applyFont="1" applyFill="1"/>
    <xf numFmtId="0" fontId="8" fillId="3" borderId="0" xfId="0" applyFont="1" applyFill="1" applyAlignment="1">
      <alignment horizontal="center" vertical="center" wrapText="1"/>
    </xf>
    <xf numFmtId="0" fontId="9" fillId="2" borderId="0" xfId="0" applyFont="1" applyFill="1"/>
    <xf numFmtId="49" fontId="6" fillId="2" borderId="0" xfId="0" applyNumberFormat="1" applyFont="1" applyFill="1" applyAlignment="1">
      <alignment horizontal="center" vertical="center" wrapText="1"/>
    </xf>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xf>
    <xf numFmtId="168" fontId="13" fillId="2" borderId="1" xfId="1" applyNumberFormat="1" applyFont="1" applyFill="1" applyBorder="1" applyAlignment="1">
      <alignment horizontal="center" vertical="center"/>
    </xf>
    <xf numFmtId="167" fontId="13" fillId="2" borderId="1" xfId="0" applyNumberFormat="1" applyFont="1" applyFill="1" applyBorder="1" applyAlignment="1">
      <alignment horizontal="center" vertical="center"/>
    </xf>
    <xf numFmtId="165" fontId="13" fillId="2" borderId="1" xfId="0" applyNumberFormat="1" applyFont="1" applyFill="1" applyBorder="1" applyAlignment="1">
      <alignment horizontal="right" vertical="center"/>
    </xf>
    <xf numFmtId="166" fontId="13" fillId="2" borderId="1" xfId="0" applyNumberFormat="1" applyFont="1" applyFill="1" applyBorder="1" applyAlignment="1">
      <alignment horizontal="center" vertical="center"/>
    </xf>
    <xf numFmtId="3" fontId="14" fillId="2" borderId="1" xfId="0" applyNumberFormat="1" applyFont="1" applyFill="1" applyBorder="1" applyAlignment="1">
      <alignment horizontal="right" vertical="center"/>
    </xf>
    <xf numFmtId="0" fontId="12" fillId="2" borderId="1" xfId="0" applyFont="1" applyFill="1" applyBorder="1" applyAlignment="1">
      <alignment horizontal="left" vertical="center" wrapText="1"/>
    </xf>
    <xf numFmtId="3" fontId="6" fillId="2" borderId="1" xfId="0" applyNumberFormat="1" applyFont="1" applyFill="1" applyBorder="1" applyAlignment="1">
      <alignment horizontal="right"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left" vertical="center" wrapText="1"/>
    </xf>
    <xf numFmtId="168" fontId="2" fillId="2" borderId="1" xfId="1" applyNumberFormat="1" applyFont="1" applyFill="1" applyBorder="1" applyAlignment="1">
      <alignment horizontal="center" vertical="center"/>
    </xf>
    <xf numFmtId="167" fontId="2" fillId="2" borderId="1" xfId="0" applyNumberFormat="1" applyFont="1" applyFill="1" applyBorder="1" applyAlignment="1">
      <alignment horizontal="center" vertical="center"/>
    </xf>
    <xf numFmtId="165" fontId="2" fillId="2" borderId="1" xfId="0" applyNumberFormat="1" applyFont="1" applyFill="1" applyBorder="1" applyAlignment="1">
      <alignment horizontal="right" vertical="center"/>
    </xf>
    <xf numFmtId="166" fontId="2" fillId="2" borderId="1" xfId="0" applyNumberFormat="1" applyFont="1" applyFill="1" applyBorder="1" applyAlignment="1">
      <alignment horizontal="center" vertical="center"/>
    </xf>
    <xf numFmtId="3" fontId="2" fillId="2" borderId="1" xfId="0" applyNumberFormat="1" applyFont="1" applyFill="1" applyBorder="1" applyAlignment="1">
      <alignment horizontal="right" vertical="center"/>
    </xf>
    <xf numFmtId="0" fontId="16" fillId="0" borderId="1" xfId="0" applyFont="1" applyBorder="1" applyAlignment="1">
      <alignment horizontal="center" vertical="center"/>
    </xf>
    <xf numFmtId="49" fontId="16" fillId="0" borderId="1" xfId="0" applyNumberFormat="1" applyFont="1" applyBorder="1" applyAlignment="1">
      <alignment horizontal="left" vertical="center" wrapText="1"/>
    </xf>
    <xf numFmtId="168" fontId="16" fillId="0" borderId="1" xfId="1" applyNumberFormat="1" applyFont="1" applyFill="1" applyBorder="1" applyAlignment="1">
      <alignment horizontal="center" vertical="center"/>
    </xf>
    <xf numFmtId="167" fontId="16" fillId="0" borderId="1" xfId="0" applyNumberFormat="1" applyFont="1" applyBorder="1" applyAlignment="1">
      <alignment horizontal="center" vertical="center"/>
    </xf>
    <xf numFmtId="3" fontId="16" fillId="0" borderId="1" xfId="0" applyNumberFormat="1" applyFont="1" applyBorder="1" applyAlignment="1">
      <alignment horizontal="center" vertical="center"/>
    </xf>
    <xf numFmtId="166" fontId="16" fillId="0" borderId="1" xfId="0" applyNumberFormat="1" applyFont="1" applyBorder="1" applyAlignment="1">
      <alignment horizontal="center" vertical="center"/>
    </xf>
    <xf numFmtId="3" fontId="16" fillId="0" borderId="1" xfId="0" applyNumberFormat="1" applyFont="1" applyBorder="1" applyAlignment="1">
      <alignment horizontal="right" vertical="center"/>
    </xf>
    <xf numFmtId="0" fontId="6" fillId="2" borderId="1" xfId="0" applyFont="1" applyFill="1" applyBorder="1" applyAlignment="1">
      <alignment horizontal="center" vertical="center"/>
    </xf>
    <xf numFmtId="49" fontId="3" fillId="2" borderId="1" xfId="0" applyNumberFormat="1" applyFont="1" applyFill="1" applyBorder="1" applyAlignment="1">
      <alignment horizontal="centerContinuous" vertical="top" wrapText="1"/>
    </xf>
    <xf numFmtId="168" fontId="6" fillId="2" borderId="1" xfId="1" applyNumberFormat="1" applyFont="1" applyFill="1" applyBorder="1" applyAlignment="1">
      <alignment horizontal="center" vertical="center"/>
    </xf>
    <xf numFmtId="167" fontId="6" fillId="2" borderId="1" xfId="0" applyNumberFormat="1" applyFont="1" applyFill="1" applyBorder="1" applyAlignment="1">
      <alignment horizontal="center" vertical="center"/>
    </xf>
    <xf numFmtId="3" fontId="6" fillId="2" borderId="1" xfId="0" applyNumberFormat="1" applyFont="1" applyFill="1" applyBorder="1" applyAlignment="1">
      <alignment horizontal="center" vertical="center"/>
    </xf>
    <xf numFmtId="166" fontId="6" fillId="2" borderId="1" xfId="0" applyNumberFormat="1" applyFont="1" applyFill="1" applyBorder="1" applyAlignment="1">
      <alignment horizontal="center" vertical="center"/>
    </xf>
    <xf numFmtId="3" fontId="2" fillId="2" borderId="1" xfId="0" applyNumberFormat="1" applyFont="1" applyFill="1" applyBorder="1" applyAlignment="1">
      <alignment horizontal="center" vertical="center"/>
    </xf>
    <xf numFmtId="49" fontId="6" fillId="0" borderId="1" xfId="0" applyNumberFormat="1" applyFont="1" applyBorder="1" applyAlignment="1">
      <alignment horizontal="left" vertical="center" wrapText="1"/>
    </xf>
    <xf numFmtId="0" fontId="6" fillId="3" borderId="1" xfId="0" applyFont="1" applyFill="1" applyBorder="1" applyAlignment="1">
      <alignment horizontal="center" vertical="center"/>
    </xf>
    <xf numFmtId="49" fontId="10" fillId="2" borderId="1" xfId="0" applyNumberFormat="1" applyFont="1" applyFill="1" applyBorder="1" applyAlignment="1">
      <alignment horizontal="left" vertical="center" wrapText="1"/>
    </xf>
    <xf numFmtId="0" fontId="22" fillId="2" borderId="1" xfId="0" applyFont="1" applyFill="1" applyBorder="1"/>
    <xf numFmtId="0" fontId="10" fillId="2" borderId="1" xfId="0" applyFont="1" applyFill="1" applyBorder="1" applyAlignment="1">
      <alignment horizontal="center" vertical="center"/>
    </xf>
    <xf numFmtId="168" fontId="10" fillId="2" borderId="1" xfId="1" applyNumberFormat="1" applyFont="1" applyFill="1" applyBorder="1" applyAlignment="1">
      <alignment horizontal="center" vertical="center"/>
    </xf>
    <xf numFmtId="167" fontId="10" fillId="2" borderId="1"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166" fontId="10" fillId="2" borderId="1" xfId="0" applyNumberFormat="1" applyFont="1" applyFill="1" applyBorder="1" applyAlignment="1">
      <alignment horizontal="center" vertical="center"/>
    </xf>
    <xf numFmtId="3" fontId="10" fillId="2" borderId="1" xfId="0" applyNumberFormat="1" applyFont="1" applyFill="1" applyBorder="1" applyAlignment="1">
      <alignment horizontal="right" vertical="center"/>
    </xf>
    <xf numFmtId="0" fontId="10" fillId="3" borderId="1" xfId="0" applyFont="1" applyFill="1" applyBorder="1" applyAlignment="1">
      <alignment horizontal="center" vertical="center"/>
    </xf>
    <xf numFmtId="49" fontId="11" fillId="2" borderId="1" xfId="0" applyNumberFormat="1" applyFont="1" applyFill="1" applyBorder="1" applyAlignment="1">
      <alignment horizontal="left" vertical="center" wrapText="1"/>
    </xf>
    <xf numFmtId="0" fontId="11" fillId="3" borderId="1" xfId="0" applyFont="1" applyFill="1" applyBorder="1" applyAlignment="1">
      <alignment horizontal="center" vertical="center"/>
    </xf>
    <xf numFmtId="0" fontId="11" fillId="2" borderId="1" xfId="0" applyFont="1" applyFill="1" applyBorder="1" applyAlignment="1">
      <alignment horizontal="center" vertical="center"/>
    </xf>
    <xf numFmtId="168" fontId="11" fillId="2" borderId="1" xfId="1" applyNumberFormat="1" applyFont="1" applyFill="1" applyBorder="1" applyAlignment="1">
      <alignment horizontal="center" vertical="center"/>
    </xf>
    <xf numFmtId="167" fontId="11" fillId="2" borderId="1" xfId="0" applyNumberFormat="1" applyFont="1" applyFill="1" applyBorder="1" applyAlignment="1">
      <alignment horizontal="center" vertical="center"/>
    </xf>
    <xf numFmtId="3" fontId="11" fillId="2" borderId="1" xfId="0" applyNumberFormat="1" applyFont="1" applyFill="1" applyBorder="1" applyAlignment="1">
      <alignment horizontal="center" vertical="center"/>
    </xf>
    <xf numFmtId="166" fontId="11" fillId="2" borderId="1" xfId="0" applyNumberFormat="1" applyFont="1" applyFill="1" applyBorder="1" applyAlignment="1">
      <alignment horizontal="center" vertical="center"/>
    </xf>
    <xf numFmtId="3" fontId="11" fillId="2" borderId="1" xfId="0" applyNumberFormat="1" applyFont="1" applyFill="1" applyBorder="1" applyAlignment="1">
      <alignment horizontal="right" vertical="center"/>
    </xf>
    <xf numFmtId="49" fontId="6" fillId="2" borderId="1" xfId="0" applyNumberFormat="1" applyFont="1" applyFill="1" applyBorder="1" applyAlignment="1">
      <alignment horizontal="left" vertical="center" wrapText="1"/>
    </xf>
    <xf numFmtId="0" fontId="6" fillId="0" borderId="1" xfId="0" applyFont="1" applyBorder="1" applyAlignment="1">
      <alignment horizontal="center" vertical="center"/>
    </xf>
    <xf numFmtId="168" fontId="6" fillId="0" borderId="1" xfId="1" applyNumberFormat="1" applyFont="1" applyBorder="1" applyAlignment="1">
      <alignment horizontal="center" vertical="center"/>
    </xf>
    <xf numFmtId="167"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166" fontId="6" fillId="0" borderId="1" xfId="0" applyNumberFormat="1" applyFont="1" applyBorder="1" applyAlignment="1">
      <alignment horizontal="center" vertical="center"/>
    </xf>
    <xf numFmtId="3" fontId="6" fillId="0" borderId="1" xfId="0" applyNumberFormat="1" applyFont="1" applyBorder="1" applyAlignment="1">
      <alignment horizontal="righ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xf>
    <xf numFmtId="166" fontId="2" fillId="2" borderId="1" xfId="0" applyNumberFormat="1" applyFont="1" applyFill="1" applyBorder="1" applyAlignment="1">
      <alignment horizontal="center"/>
    </xf>
    <xf numFmtId="168" fontId="6" fillId="0" borderId="1" xfId="1" applyNumberFormat="1" applyFont="1" applyFill="1" applyBorder="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left" vertical="center" wrapText="1"/>
    </xf>
    <xf numFmtId="168" fontId="2" fillId="0" borderId="1" xfId="1" applyNumberFormat="1" applyFont="1" applyFill="1" applyBorder="1" applyAlignment="1">
      <alignment horizontal="center" vertical="center"/>
    </xf>
    <xf numFmtId="167" fontId="2"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166" fontId="2" fillId="0" borderId="1" xfId="0" applyNumberFormat="1" applyFont="1" applyBorder="1" applyAlignment="1">
      <alignment horizontal="center" vertical="center"/>
    </xf>
    <xf numFmtId="3" fontId="2" fillId="0" borderId="1" xfId="0" applyNumberFormat="1" applyFont="1" applyBorder="1" applyAlignment="1">
      <alignment horizontal="right"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left" vertical="center" wrapText="1"/>
    </xf>
    <xf numFmtId="168" fontId="3" fillId="2" borderId="1" xfId="1" applyNumberFormat="1" applyFont="1" applyFill="1" applyBorder="1" applyAlignment="1">
      <alignment horizontal="center" vertical="center"/>
    </xf>
    <xf numFmtId="167" fontId="3" fillId="2" borderId="1" xfId="0" applyNumberFormat="1" applyFont="1" applyFill="1" applyBorder="1" applyAlignment="1">
      <alignment horizontal="center" vertical="center"/>
    </xf>
    <xf numFmtId="3" fontId="3" fillId="2" borderId="1"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xf>
    <xf numFmtId="3" fontId="3" fillId="2" borderId="1" xfId="0" applyNumberFormat="1" applyFont="1" applyFill="1" applyBorder="1" applyAlignment="1">
      <alignment horizontal="right" vertical="center"/>
    </xf>
    <xf numFmtId="0" fontId="28" fillId="0" borderId="1" xfId="0" applyFont="1" applyBorder="1" applyAlignment="1">
      <alignment horizontal="center" vertical="center"/>
    </xf>
    <xf numFmtId="49" fontId="28" fillId="0" borderId="1" xfId="0" applyNumberFormat="1" applyFont="1" applyBorder="1" applyAlignment="1">
      <alignment horizontal="left" vertical="center" wrapText="1"/>
    </xf>
    <xf numFmtId="168" fontId="3" fillId="0" borderId="1" xfId="1" applyNumberFormat="1" applyFont="1" applyFill="1" applyBorder="1" applyAlignment="1">
      <alignment horizontal="center" vertical="center"/>
    </xf>
    <xf numFmtId="167" fontId="28" fillId="0" borderId="1" xfId="0" applyNumberFormat="1" applyFont="1" applyBorder="1" applyAlignment="1">
      <alignment horizontal="center" vertical="center"/>
    </xf>
    <xf numFmtId="3" fontId="28" fillId="0" borderId="1" xfId="0" applyNumberFormat="1" applyFont="1" applyBorder="1" applyAlignment="1">
      <alignment horizontal="center" vertical="center"/>
    </xf>
    <xf numFmtId="166" fontId="28" fillId="0" borderId="1" xfId="0" applyNumberFormat="1" applyFont="1" applyBorder="1" applyAlignment="1">
      <alignment horizontal="center" vertical="center"/>
    </xf>
    <xf numFmtId="168" fontId="28" fillId="0" borderId="1" xfId="1" applyNumberFormat="1" applyFont="1" applyFill="1" applyBorder="1" applyAlignment="1">
      <alignment horizontal="center" vertical="center"/>
    </xf>
    <xf numFmtId="49" fontId="16" fillId="2" borderId="1" xfId="0" applyNumberFormat="1" applyFont="1" applyFill="1" applyBorder="1" applyAlignment="1">
      <alignment horizontal="left" vertical="center" wrapText="1"/>
    </xf>
    <xf numFmtId="0" fontId="16" fillId="2" borderId="1" xfId="0" applyFont="1" applyFill="1" applyBorder="1" applyAlignment="1">
      <alignment horizontal="center" vertical="center"/>
    </xf>
    <xf numFmtId="168" fontId="16" fillId="2" borderId="1" xfId="1" applyNumberFormat="1" applyFont="1" applyFill="1" applyBorder="1" applyAlignment="1">
      <alignment horizontal="center" vertical="center"/>
    </xf>
    <xf numFmtId="167" fontId="16" fillId="2" borderId="1" xfId="0" applyNumberFormat="1" applyFont="1" applyFill="1" applyBorder="1" applyAlignment="1">
      <alignment horizontal="center" vertical="center"/>
    </xf>
    <xf numFmtId="3" fontId="16" fillId="2" borderId="1" xfId="0" applyNumberFormat="1" applyFont="1" applyFill="1" applyBorder="1" applyAlignment="1">
      <alignment horizontal="center" vertical="center"/>
    </xf>
    <xf numFmtId="166" fontId="16" fillId="2" borderId="1" xfId="0" applyNumberFormat="1" applyFont="1" applyFill="1" applyBorder="1" applyAlignment="1">
      <alignment horizontal="center" vertical="center"/>
    </xf>
    <xf numFmtId="3" fontId="16" fillId="2" borderId="1" xfId="0" applyNumberFormat="1" applyFont="1" applyFill="1" applyBorder="1" applyAlignment="1">
      <alignment horizontal="right" vertical="center"/>
    </xf>
    <xf numFmtId="49" fontId="25" fillId="3" borderId="1" xfId="0" applyNumberFormat="1" applyFont="1" applyFill="1" applyBorder="1" applyAlignment="1">
      <alignment vertical="center" wrapText="1"/>
    </xf>
    <xf numFmtId="0" fontId="16" fillId="3" borderId="1" xfId="0" applyFont="1" applyFill="1" applyBorder="1" applyAlignment="1">
      <alignment horizontal="center" vertical="center"/>
    </xf>
    <xf numFmtId="168" fontId="16" fillId="0" borderId="1" xfId="1" applyNumberFormat="1" applyFont="1" applyBorder="1" applyAlignment="1">
      <alignment horizontal="center" vertical="center"/>
    </xf>
    <xf numFmtId="167" fontId="16" fillId="0" borderId="1" xfId="0" applyNumberFormat="1" applyFont="1" applyBorder="1" applyAlignment="1">
      <alignment horizontal="right"/>
    </xf>
    <xf numFmtId="167" fontId="16" fillId="2" borderId="1" xfId="0" applyNumberFormat="1" applyFont="1" applyFill="1" applyBorder="1" applyAlignment="1">
      <alignment horizontal="right"/>
    </xf>
    <xf numFmtId="167" fontId="26" fillId="0" borderId="1" xfId="1" applyNumberFormat="1" applyFont="1" applyFill="1" applyBorder="1"/>
    <xf numFmtId="0" fontId="5" fillId="2" borderId="0" xfId="0" applyFont="1" applyFill="1" applyAlignment="1">
      <alignment vertical="center"/>
    </xf>
    <xf numFmtId="0" fontId="12" fillId="2" borderId="1" xfId="0" applyFont="1" applyFill="1" applyBorder="1" applyAlignment="1">
      <alignment horizontal="left" vertical="center"/>
    </xf>
    <xf numFmtId="49" fontId="3" fillId="2" borderId="1" xfId="0" applyNumberFormat="1" applyFont="1" applyFill="1" applyBorder="1" applyAlignment="1">
      <alignment vertical="top"/>
    </xf>
    <xf numFmtId="49" fontId="3" fillId="2" borderId="1" xfId="0" applyNumberFormat="1" applyFont="1" applyFill="1" applyBorder="1" applyAlignment="1">
      <alignment horizontal="centerContinuous" vertical="top"/>
    </xf>
    <xf numFmtId="166" fontId="13" fillId="2" borderId="1" xfId="0" applyNumberFormat="1" applyFont="1" applyFill="1" applyBorder="1" applyAlignment="1">
      <alignment horizontal="left" vertical="center"/>
    </xf>
    <xf numFmtId="0" fontId="27" fillId="0" borderId="0" xfId="0" applyFont="1" applyAlignment="1">
      <alignment horizontal="center" vertical="center"/>
    </xf>
    <xf numFmtId="0" fontId="22" fillId="2" borderId="0" xfId="0" applyFont="1" applyFill="1" applyAlignment="1">
      <alignment horizontal="center" vertical="center"/>
    </xf>
    <xf numFmtId="0" fontId="30" fillId="2" borderId="0" xfId="0" applyFont="1" applyFill="1" applyAlignment="1">
      <alignment horizontal="center" vertical="center"/>
    </xf>
    <xf numFmtId="0" fontId="0" fillId="0" borderId="0" xfId="0" applyAlignment="1">
      <alignment horizontal="center" vertical="center"/>
    </xf>
    <xf numFmtId="0" fontId="17" fillId="2" borderId="0" xfId="0" applyFont="1" applyFill="1" applyAlignment="1">
      <alignment horizontal="center" vertical="center"/>
    </xf>
    <xf numFmtId="0" fontId="17" fillId="0" borderId="0" xfId="0" applyFont="1" applyAlignment="1">
      <alignment horizontal="center" vertical="center"/>
    </xf>
    <xf numFmtId="0" fontId="22" fillId="0" borderId="0" xfId="0" applyFont="1" applyAlignment="1">
      <alignment horizontal="center" vertical="center"/>
    </xf>
    <xf numFmtId="0" fontId="27" fillId="2" borderId="0" xfId="0" applyFont="1" applyFill="1" applyAlignment="1">
      <alignment horizontal="center" vertical="center"/>
    </xf>
    <xf numFmtId="49" fontId="31" fillId="2" borderId="1" xfId="0" applyNumberFormat="1" applyFont="1" applyFill="1" applyBorder="1" applyAlignment="1">
      <alignment horizontal="left" vertical="center" wrapText="1"/>
    </xf>
    <xf numFmtId="0" fontId="31" fillId="3" borderId="1" xfId="0" applyFont="1" applyFill="1" applyBorder="1" applyAlignment="1">
      <alignment horizontal="center" vertical="center"/>
    </xf>
    <xf numFmtId="0" fontId="31" fillId="2" borderId="1" xfId="0" applyFont="1" applyFill="1" applyBorder="1" applyAlignment="1">
      <alignment horizontal="center" vertical="center"/>
    </xf>
    <xf numFmtId="168" fontId="31" fillId="2" borderId="1" xfId="1" applyNumberFormat="1" applyFont="1" applyFill="1" applyBorder="1" applyAlignment="1">
      <alignment horizontal="center" vertical="center"/>
    </xf>
    <xf numFmtId="167" fontId="31" fillId="2" borderId="1" xfId="0" applyNumberFormat="1" applyFont="1" applyFill="1" applyBorder="1" applyAlignment="1">
      <alignment horizontal="center" vertical="center"/>
    </xf>
    <xf numFmtId="3" fontId="31" fillId="2" borderId="1" xfId="0" applyNumberFormat="1" applyFont="1" applyFill="1" applyBorder="1" applyAlignment="1">
      <alignment horizontal="center" vertical="center"/>
    </xf>
    <xf numFmtId="166" fontId="31" fillId="2" borderId="1" xfId="0" applyNumberFormat="1" applyFont="1" applyFill="1" applyBorder="1" applyAlignment="1">
      <alignment horizontal="center" vertical="center"/>
    </xf>
    <xf numFmtId="169" fontId="0" fillId="2" borderId="0" xfId="0" applyNumberFormat="1" applyFill="1" applyAlignment="1">
      <alignment horizontal="center" vertical="center"/>
    </xf>
    <xf numFmtId="168" fontId="0" fillId="2" borderId="0" xfId="0" applyNumberFormat="1" applyFill="1" applyAlignment="1">
      <alignment vertical="center"/>
    </xf>
    <xf numFmtId="168" fontId="0" fillId="2" borderId="0" xfId="0" applyNumberFormat="1" applyFill="1" applyAlignment="1">
      <alignment horizontal="center" vertical="center"/>
    </xf>
    <xf numFmtId="166" fontId="13" fillId="2" borderId="1" xfId="0" applyNumberFormat="1" applyFont="1" applyFill="1" applyBorder="1" applyAlignment="1">
      <alignment horizontal="centerContinuous" vertical="center"/>
    </xf>
    <xf numFmtId="49" fontId="6" fillId="2" borderId="1" xfId="0" applyNumberFormat="1" applyFont="1" applyFill="1" applyBorder="1" applyAlignment="1">
      <alignment horizontal="centerContinuous" vertical="center" wrapText="1"/>
    </xf>
    <xf numFmtId="0" fontId="2" fillId="2" borderId="1" xfId="0" applyFont="1" applyFill="1" applyBorder="1" applyAlignment="1">
      <alignment horizontal="centerContinuous"/>
    </xf>
    <xf numFmtId="168" fontId="2" fillId="2" borderId="1" xfId="1" applyNumberFormat="1" applyFont="1" applyFill="1" applyBorder="1" applyAlignment="1">
      <alignment horizontal="centerContinuous" vertical="center"/>
    </xf>
    <xf numFmtId="167" fontId="2" fillId="2" borderId="1" xfId="0" applyNumberFormat="1" applyFont="1" applyFill="1" applyBorder="1" applyAlignment="1">
      <alignment horizontal="centerContinuous" vertical="center"/>
    </xf>
    <xf numFmtId="3" fontId="2" fillId="2" borderId="1" xfId="0" applyNumberFormat="1" applyFont="1" applyFill="1" applyBorder="1" applyAlignment="1">
      <alignment horizontal="centerContinuous" vertical="center"/>
    </xf>
    <xf numFmtId="166" fontId="2" fillId="2" borderId="1" xfId="0" applyNumberFormat="1" applyFont="1" applyFill="1" applyBorder="1" applyAlignment="1">
      <alignment horizontal="centerContinuous"/>
    </xf>
    <xf numFmtId="0" fontId="2" fillId="2" borderId="1" xfId="0" applyFont="1" applyFill="1" applyBorder="1" applyAlignment="1">
      <alignment horizontal="centerContinuous" vertical="center"/>
    </xf>
    <xf numFmtId="3" fontId="14" fillId="2" borderId="0" xfId="0" applyNumberFormat="1" applyFont="1" applyFill="1" applyAlignment="1">
      <alignment horizontal="right" vertical="center"/>
    </xf>
    <xf numFmtId="3" fontId="2" fillId="2" borderId="0" xfId="0" applyNumberFormat="1" applyFont="1" applyFill="1" applyAlignment="1">
      <alignment horizontal="right" vertical="center"/>
    </xf>
    <xf numFmtId="3" fontId="16" fillId="0" borderId="0" xfId="0" applyNumberFormat="1" applyFont="1" applyAlignment="1">
      <alignment horizontal="right" vertical="center"/>
    </xf>
    <xf numFmtId="3" fontId="6" fillId="2" borderId="0" xfId="0" applyNumberFormat="1" applyFont="1" applyFill="1" applyAlignment="1">
      <alignment horizontal="right" vertical="center"/>
    </xf>
    <xf numFmtId="3" fontId="10" fillId="2" borderId="0" xfId="0" applyNumberFormat="1" applyFont="1" applyFill="1" applyAlignment="1">
      <alignment horizontal="right" vertical="center"/>
    </xf>
    <xf numFmtId="3" fontId="11" fillId="2" borderId="0" xfId="0" applyNumberFormat="1" applyFont="1" applyFill="1" applyAlignment="1">
      <alignment horizontal="right" vertical="center"/>
    </xf>
    <xf numFmtId="3" fontId="6" fillId="0" borderId="0" xfId="0" applyNumberFormat="1" applyFont="1" applyAlignment="1">
      <alignment horizontal="right" vertical="center"/>
    </xf>
    <xf numFmtId="49" fontId="3" fillId="2" borderId="0" xfId="0" applyNumberFormat="1" applyFont="1" applyFill="1" applyAlignment="1">
      <alignment vertical="top"/>
    </xf>
    <xf numFmtId="3" fontId="2" fillId="0" borderId="0" xfId="0" applyNumberFormat="1" applyFont="1" applyAlignment="1">
      <alignment horizontal="right" vertical="center"/>
    </xf>
    <xf numFmtId="3" fontId="3" fillId="2" borderId="0" xfId="0" applyNumberFormat="1" applyFont="1" applyFill="1" applyAlignment="1">
      <alignment horizontal="right" vertical="center"/>
    </xf>
    <xf numFmtId="3" fontId="16" fillId="2" borderId="0" xfId="0" applyNumberFormat="1" applyFont="1" applyFill="1" applyAlignment="1">
      <alignment horizontal="right" vertical="center"/>
    </xf>
    <xf numFmtId="49" fontId="3" fillId="2" borderId="0" xfId="0" applyNumberFormat="1" applyFont="1" applyFill="1" applyAlignment="1">
      <alignment horizontal="center" vertical="center" wrapText="1"/>
    </xf>
    <xf numFmtId="3" fontId="11" fillId="0" borderId="0" xfId="0" applyNumberFormat="1" applyFont="1" applyAlignment="1">
      <alignment horizontal="right" vertical="center"/>
    </xf>
    <xf numFmtId="49" fontId="16" fillId="0" borderId="1" xfId="0" applyNumberFormat="1" applyFont="1" applyBorder="1" applyAlignment="1">
      <alignment horizontal="centerContinuous" vertical="center" wrapText="1"/>
    </xf>
    <xf numFmtId="0" fontId="16" fillId="0" borderId="1" xfId="0" applyFont="1" applyBorder="1" applyAlignment="1">
      <alignment horizontal="centerContinuous" vertical="center"/>
    </xf>
    <xf numFmtId="168" fontId="16" fillId="0" borderId="1" xfId="1" applyNumberFormat="1" applyFont="1" applyFill="1" applyBorder="1" applyAlignment="1">
      <alignment horizontal="centerContinuous" vertical="center"/>
    </xf>
    <xf numFmtId="167" fontId="16" fillId="0" borderId="1" xfId="0" applyNumberFormat="1" applyFont="1" applyBorder="1" applyAlignment="1">
      <alignment horizontal="centerContinuous" vertical="center"/>
    </xf>
    <xf numFmtId="3" fontId="16" fillId="0" borderId="1" xfId="0" applyNumberFormat="1" applyFont="1" applyBorder="1" applyAlignment="1">
      <alignment horizontal="centerContinuous" vertical="center"/>
    </xf>
    <xf numFmtId="166" fontId="16" fillId="0" borderId="1" xfId="0" applyNumberFormat="1" applyFont="1" applyBorder="1" applyAlignment="1">
      <alignment horizontal="centerContinuous" vertical="center"/>
    </xf>
    <xf numFmtId="3" fontId="6" fillId="2" borderId="1" xfId="0" applyNumberFormat="1" applyFont="1" applyFill="1" applyBorder="1" applyAlignment="1">
      <alignment horizontal="centerContinuous" vertical="center"/>
    </xf>
    <xf numFmtId="166" fontId="6" fillId="2" borderId="1" xfId="0" applyNumberFormat="1" applyFont="1" applyFill="1" applyBorder="1" applyAlignment="1">
      <alignment horizontal="centerContinuous" vertical="center"/>
    </xf>
    <xf numFmtId="49" fontId="6" fillId="2" borderId="1" xfId="0" applyNumberFormat="1" applyFont="1" applyFill="1" applyBorder="1" applyAlignment="1">
      <alignment vertical="center" wrapText="1"/>
    </xf>
    <xf numFmtId="3" fontId="0" fillId="2" borderId="0" xfId="0" applyNumberFormat="1" applyFill="1" applyAlignment="1">
      <alignment horizontal="center" vertical="center"/>
    </xf>
    <xf numFmtId="0" fontId="34" fillId="2" borderId="1" xfId="0" applyFont="1" applyFill="1" applyBorder="1" applyAlignment="1">
      <alignment horizontal="center" vertical="center"/>
    </xf>
    <xf numFmtId="0" fontId="34" fillId="2" borderId="1" xfId="0" applyFont="1" applyFill="1" applyBorder="1" applyAlignment="1">
      <alignment horizontal="left" vertical="center" wrapText="1"/>
    </xf>
    <xf numFmtId="0" fontId="35" fillId="2" borderId="1" xfId="0" applyFont="1" applyFill="1" applyBorder="1" applyAlignment="1">
      <alignment horizontal="center" vertical="center"/>
    </xf>
    <xf numFmtId="168" fontId="35" fillId="2" borderId="1" xfId="1" applyNumberFormat="1" applyFont="1" applyFill="1" applyBorder="1" applyAlignment="1">
      <alignment horizontal="center" vertical="center"/>
    </xf>
    <xf numFmtId="167" fontId="35" fillId="2" borderId="1" xfId="0" applyNumberFormat="1" applyFont="1" applyFill="1" applyBorder="1" applyAlignment="1">
      <alignment horizontal="center" vertical="center"/>
    </xf>
    <xf numFmtId="165" fontId="35" fillId="2" borderId="1" xfId="0" applyNumberFormat="1" applyFont="1" applyFill="1" applyBorder="1" applyAlignment="1">
      <alignment horizontal="right" vertical="center"/>
    </xf>
    <xf numFmtId="0" fontId="34" fillId="2" borderId="1" xfId="0" applyFont="1" applyFill="1" applyBorder="1" applyAlignment="1">
      <alignment horizontal="left" vertical="center"/>
    </xf>
    <xf numFmtId="0" fontId="35" fillId="2" borderId="1" xfId="0" applyFont="1" applyFill="1" applyBorder="1" applyAlignment="1">
      <alignment horizontal="centerContinuous" vertical="center"/>
    </xf>
    <xf numFmtId="168" fontId="35" fillId="2" borderId="1" xfId="1" applyNumberFormat="1" applyFont="1" applyFill="1" applyBorder="1" applyAlignment="1">
      <alignment horizontal="centerContinuous" vertical="center"/>
    </xf>
    <xf numFmtId="167" fontId="35" fillId="2" borderId="1" xfId="0" applyNumberFormat="1" applyFont="1" applyFill="1" applyBorder="1" applyAlignment="1">
      <alignment horizontal="centerContinuous" vertical="center"/>
    </xf>
    <xf numFmtId="165" fontId="35" fillId="2" borderId="1" xfId="0" applyNumberFormat="1" applyFont="1" applyFill="1" applyBorder="1" applyAlignment="1">
      <alignment horizontal="centerContinuous" vertical="center"/>
    </xf>
    <xf numFmtId="0" fontId="35" fillId="2" borderId="1" xfId="0" applyFont="1" applyFill="1" applyBorder="1" applyAlignment="1">
      <alignment horizontal="left" vertical="center"/>
    </xf>
    <xf numFmtId="168" fontId="35" fillId="2" borderId="1" xfId="1" applyNumberFormat="1" applyFont="1" applyFill="1" applyBorder="1" applyAlignment="1">
      <alignment horizontal="left" vertical="center"/>
    </xf>
    <xf numFmtId="167" fontId="35" fillId="2" borderId="1" xfId="0" applyNumberFormat="1" applyFont="1" applyFill="1" applyBorder="1" applyAlignment="1">
      <alignment horizontal="left" vertical="center"/>
    </xf>
    <xf numFmtId="165" fontId="35" fillId="2" borderId="1" xfId="0" applyNumberFormat="1" applyFont="1" applyFill="1" applyBorder="1" applyAlignment="1">
      <alignment horizontal="left" vertical="center"/>
    </xf>
    <xf numFmtId="3" fontId="31" fillId="2" borderId="1" xfId="0" applyNumberFormat="1" applyFont="1" applyFill="1" applyBorder="1" applyAlignment="1">
      <alignment horizontal="right" vertical="center"/>
    </xf>
    <xf numFmtId="0" fontId="31" fillId="0" borderId="1" xfId="0" applyFont="1" applyBorder="1" applyAlignment="1">
      <alignment horizontal="center" vertical="center"/>
    </xf>
    <xf numFmtId="49" fontId="31" fillId="0" borderId="1" xfId="0" applyNumberFormat="1" applyFont="1" applyBorder="1" applyAlignment="1">
      <alignment horizontal="left" vertical="center" wrapText="1"/>
    </xf>
    <xf numFmtId="167" fontId="31" fillId="0" borderId="1" xfId="0" applyNumberFormat="1" applyFont="1" applyBorder="1" applyAlignment="1">
      <alignment horizontal="center" vertical="center"/>
    </xf>
    <xf numFmtId="3" fontId="31" fillId="0" borderId="1" xfId="0" applyNumberFormat="1" applyFont="1" applyBorder="1" applyAlignment="1">
      <alignment horizontal="center" vertical="center"/>
    </xf>
    <xf numFmtId="166" fontId="31" fillId="0" borderId="1" xfId="0" applyNumberFormat="1" applyFont="1" applyBorder="1" applyAlignment="1">
      <alignment horizontal="center" vertical="center"/>
    </xf>
    <xf numFmtId="168" fontId="31" fillId="0" borderId="1" xfId="1" applyNumberFormat="1" applyFont="1" applyFill="1" applyBorder="1" applyAlignment="1">
      <alignment horizontal="center" vertical="center"/>
    </xf>
    <xf numFmtId="3" fontId="31" fillId="0" borderId="1" xfId="0" applyNumberFormat="1" applyFont="1" applyBorder="1" applyAlignment="1">
      <alignment horizontal="right" vertical="center"/>
    </xf>
    <xf numFmtId="0" fontId="34" fillId="2" borderId="1" xfId="0" applyFont="1" applyFill="1" applyBorder="1" applyAlignment="1">
      <alignment horizontal="center" vertical="center" wrapText="1"/>
    </xf>
    <xf numFmtId="0" fontId="36" fillId="2" borderId="0" xfId="0" applyFont="1" applyFill="1" applyAlignment="1">
      <alignment horizontal="right" vertical="center"/>
    </xf>
    <xf numFmtId="0" fontId="34" fillId="0" borderId="2" xfId="0" applyFont="1" applyBorder="1" applyAlignment="1">
      <alignment horizontal="center" vertical="center" wrapText="1"/>
    </xf>
    <xf numFmtId="168" fontId="34" fillId="0" borderId="2" xfId="1" applyNumberFormat="1" applyFont="1" applyBorder="1" applyAlignment="1">
      <alignment horizontal="center" vertical="center" wrapText="1"/>
    </xf>
    <xf numFmtId="0" fontId="16" fillId="0" borderId="2" xfId="0" applyFont="1" applyBorder="1" applyAlignment="1">
      <alignment horizontal="center" vertical="center" wrapText="1"/>
    </xf>
    <xf numFmtId="168" fontId="16" fillId="0" borderId="2" xfId="1" applyNumberFormat="1" applyFont="1" applyBorder="1" applyAlignment="1">
      <alignment horizontal="center" vertical="center" wrapText="1"/>
    </xf>
    <xf numFmtId="9" fontId="16" fillId="0" borderId="2" xfId="0" applyNumberFormat="1" applyFont="1" applyBorder="1" applyAlignment="1">
      <alignment horizontal="center" vertical="center" wrapText="1"/>
    </xf>
    <xf numFmtId="0" fontId="16" fillId="0" borderId="0" xfId="0" applyFont="1" applyAlignment="1">
      <alignment horizontal="center"/>
    </xf>
    <xf numFmtId="0" fontId="16" fillId="0" borderId="0" xfId="0" applyFont="1"/>
    <xf numFmtId="168" fontId="16" fillId="0" borderId="0" xfId="1" applyNumberFormat="1" applyFont="1"/>
    <xf numFmtId="0" fontId="37" fillId="4" borderId="2" xfId="0" applyFont="1" applyFill="1" applyBorder="1" applyAlignment="1">
      <alignment horizontal="center" vertical="center" wrapText="1"/>
    </xf>
    <xf numFmtId="168" fontId="37" fillId="4" borderId="2" xfId="1" applyNumberFormat="1" applyFont="1" applyFill="1" applyBorder="1" applyAlignment="1">
      <alignment horizontal="center" vertical="center" wrapText="1"/>
    </xf>
    <xf numFmtId="0" fontId="38" fillId="0" borderId="2" xfId="0" applyFont="1" applyBorder="1" applyAlignment="1">
      <alignment horizontal="center" vertical="center"/>
    </xf>
    <xf numFmtId="0" fontId="38" fillId="2" borderId="2" xfId="0" applyFont="1" applyFill="1" applyBorder="1" applyAlignment="1">
      <alignment horizontal="left" vertical="center" wrapText="1"/>
    </xf>
    <xf numFmtId="0" fontId="38" fillId="4" borderId="2" xfId="0" applyFont="1" applyFill="1" applyBorder="1" applyAlignment="1">
      <alignment horizontal="center" vertical="center" wrapText="1"/>
    </xf>
    <xf numFmtId="168" fontId="38" fillId="4" borderId="2" xfId="1" applyNumberFormat="1" applyFont="1" applyFill="1" applyBorder="1" applyAlignment="1">
      <alignment horizontal="center" vertical="center" wrapText="1"/>
    </xf>
    <xf numFmtId="0" fontId="40" fillId="4" borderId="0" xfId="0" applyFont="1" applyFill="1" applyAlignment="1">
      <alignment horizontal="center" vertical="center" wrapText="1"/>
    </xf>
    <xf numFmtId="0" fontId="40" fillId="4" borderId="0" xfId="0" applyFont="1" applyFill="1" applyAlignment="1">
      <alignment vertical="center" wrapText="1"/>
    </xf>
    <xf numFmtId="0" fontId="37" fillId="4" borderId="0" xfId="0" applyFont="1" applyFill="1" applyAlignment="1">
      <alignment vertical="center" wrapText="1"/>
    </xf>
    <xf numFmtId="0" fontId="40" fillId="4" borderId="0" xfId="0" applyFont="1" applyFill="1" applyAlignment="1">
      <alignment horizontal="right" vertical="center" wrapText="1"/>
    </xf>
    <xf numFmtId="0" fontId="38" fillId="4" borderId="2" xfId="0" applyFont="1" applyFill="1" applyBorder="1" applyAlignment="1">
      <alignment horizontal="right" vertical="center" wrapText="1"/>
    </xf>
    <xf numFmtId="0" fontId="39" fillId="5" borderId="2" xfId="0" applyFont="1" applyFill="1" applyBorder="1" applyAlignment="1">
      <alignment horizontal="right" vertical="center"/>
    </xf>
    <xf numFmtId="3" fontId="38" fillId="4" borderId="2" xfId="0" applyNumberFormat="1" applyFont="1" applyFill="1" applyBorder="1" applyAlignment="1">
      <alignment horizontal="right" vertical="center" wrapText="1"/>
    </xf>
    <xf numFmtId="3" fontId="34" fillId="4" borderId="2" xfId="0" applyNumberFormat="1" applyFont="1" applyFill="1" applyBorder="1" applyAlignment="1">
      <alignment horizontal="right" vertical="center" wrapText="1"/>
    </xf>
    <xf numFmtId="170" fontId="38" fillId="4" borderId="2" xfId="1" applyNumberFormat="1" applyFont="1" applyFill="1" applyBorder="1" applyAlignment="1">
      <alignment horizontal="right" vertical="center" wrapText="1"/>
    </xf>
    <xf numFmtId="3" fontId="37" fillId="4" borderId="2" xfId="0" applyNumberFormat="1" applyFont="1" applyFill="1" applyBorder="1" applyAlignment="1">
      <alignment horizontal="right" vertical="center" wrapText="1"/>
    </xf>
    <xf numFmtId="0" fontId="0" fillId="0" borderId="0" xfId="0" applyAlignment="1">
      <alignment horizontal="right"/>
    </xf>
    <xf numFmtId="171" fontId="39" fillId="5" borderId="2" xfId="0" applyNumberFormat="1" applyFont="1" applyFill="1" applyBorder="1" applyAlignment="1">
      <alignment horizontal="right" vertical="center"/>
    </xf>
    <xf numFmtId="0" fontId="38" fillId="4" borderId="6" xfId="0" applyFont="1" applyFill="1" applyBorder="1" applyAlignment="1">
      <alignment horizontal="center" vertical="center" wrapText="1"/>
    </xf>
    <xf numFmtId="168" fontId="38" fillId="4" borderId="6" xfId="1" applyNumberFormat="1" applyFont="1" applyFill="1" applyBorder="1" applyAlignment="1">
      <alignment horizontal="center" vertical="center" wrapText="1"/>
    </xf>
    <xf numFmtId="0" fontId="38" fillId="4" borderId="6" xfId="0" applyFont="1" applyFill="1" applyBorder="1" applyAlignment="1">
      <alignment horizontal="right" vertical="center" wrapText="1"/>
    </xf>
    <xf numFmtId="0" fontId="38" fillId="4" borderId="7" xfId="0" applyFont="1" applyFill="1" applyBorder="1" applyAlignment="1">
      <alignment horizontal="center" vertical="center" wrapText="1"/>
    </xf>
    <xf numFmtId="0" fontId="39" fillId="5" borderId="7" xfId="0" applyFont="1" applyFill="1" applyBorder="1" applyAlignment="1">
      <alignment horizontal="right" vertical="center"/>
    </xf>
    <xf numFmtId="168" fontId="38" fillId="4" borderId="7" xfId="1" applyNumberFormat="1" applyFont="1" applyFill="1" applyBorder="1" applyAlignment="1">
      <alignment horizontal="center" vertical="center" wrapText="1"/>
    </xf>
    <xf numFmtId="0" fontId="38" fillId="4" borderId="7" xfId="0" applyFont="1" applyFill="1" applyBorder="1" applyAlignment="1">
      <alignment horizontal="right" vertical="center" wrapText="1"/>
    </xf>
    <xf numFmtId="0" fontId="39" fillId="5" borderId="6" xfId="0" applyFont="1" applyFill="1" applyBorder="1" applyAlignment="1">
      <alignment horizontal="right" vertical="center"/>
    </xf>
    <xf numFmtId="0" fontId="38" fillId="4" borderId="8" xfId="0" applyFont="1" applyFill="1" applyBorder="1" applyAlignment="1">
      <alignment horizontal="center" vertical="center" wrapText="1"/>
    </xf>
    <xf numFmtId="0" fontId="39" fillId="5" borderId="8" xfId="0" applyFont="1" applyFill="1" applyBorder="1" applyAlignment="1">
      <alignment horizontal="right" vertical="center"/>
    </xf>
    <xf numFmtId="168" fontId="38" fillId="4" borderId="8" xfId="1" applyNumberFormat="1" applyFont="1" applyFill="1" applyBorder="1" applyAlignment="1">
      <alignment horizontal="center" vertical="center" wrapText="1"/>
    </xf>
    <xf numFmtId="0" fontId="38" fillId="4" borderId="8" xfId="0" applyFont="1" applyFill="1" applyBorder="1" applyAlignment="1">
      <alignment horizontal="right" vertical="center" wrapText="1"/>
    </xf>
    <xf numFmtId="171" fontId="39" fillId="5" borderId="8" xfId="0" applyNumberFormat="1" applyFont="1" applyFill="1" applyBorder="1" applyAlignment="1">
      <alignment horizontal="right" vertical="center"/>
    </xf>
    <xf numFmtId="171" fontId="38" fillId="4" borderId="8" xfId="0" applyNumberFormat="1" applyFont="1" applyFill="1" applyBorder="1" applyAlignment="1">
      <alignment horizontal="right" vertical="center" wrapText="1"/>
    </xf>
    <xf numFmtId="171" fontId="38" fillId="4" borderId="7" xfId="0" applyNumberFormat="1" applyFont="1" applyFill="1" applyBorder="1" applyAlignment="1">
      <alignment horizontal="right" vertical="center" wrapText="1"/>
    </xf>
    <xf numFmtId="0" fontId="34" fillId="0" borderId="0" xfId="0" applyFont="1" applyAlignment="1">
      <alignment vertical="center" wrapText="1"/>
    </xf>
    <xf numFmtId="0" fontId="31" fillId="0" borderId="0" xfId="0" applyFont="1" applyAlignment="1">
      <alignment vertical="center" wrapText="1"/>
    </xf>
    <xf numFmtId="0" fontId="16" fillId="2" borderId="2" xfId="0" applyFont="1" applyFill="1" applyBorder="1" applyAlignment="1">
      <alignment horizontal="left" vertical="center" wrapText="1"/>
    </xf>
    <xf numFmtId="0" fontId="16" fillId="0" borderId="2" xfId="0" applyFont="1" applyBorder="1" applyAlignment="1">
      <alignment vertical="center"/>
    </xf>
    <xf numFmtId="0" fontId="16" fillId="0" borderId="2" xfId="0" applyFont="1" applyBorder="1" applyAlignment="1">
      <alignment vertical="center" wrapText="1"/>
    </xf>
    <xf numFmtId="3" fontId="0" fillId="0" borderId="0" xfId="0" applyNumberFormat="1"/>
    <xf numFmtId="3" fontId="16" fillId="4" borderId="2" xfId="0" applyNumberFormat="1" applyFont="1" applyFill="1" applyBorder="1" applyAlignment="1">
      <alignment horizontal="right" vertical="center"/>
    </xf>
    <xf numFmtId="3" fontId="16" fillId="0" borderId="2" xfId="0" applyNumberFormat="1" applyFont="1" applyBorder="1" applyAlignment="1">
      <alignment horizontal="right" vertical="center"/>
    </xf>
    <xf numFmtId="3" fontId="0" fillId="0" borderId="0" xfId="0" applyNumberFormat="1" applyAlignment="1">
      <alignment vertical="center"/>
    </xf>
    <xf numFmtId="3" fontId="16" fillId="0" borderId="2" xfId="0" applyNumberFormat="1" applyFont="1" applyBorder="1" applyAlignment="1">
      <alignment horizontal="right" vertical="center" wrapText="1"/>
    </xf>
    <xf numFmtId="3" fontId="34" fillId="0" borderId="2" xfId="0" applyNumberFormat="1" applyFont="1" applyBorder="1" applyAlignment="1">
      <alignment horizontal="right" vertical="center" wrapText="1"/>
    </xf>
    <xf numFmtId="3" fontId="34" fillId="0" borderId="2" xfId="0" applyNumberFormat="1" applyFont="1" applyBorder="1" applyAlignment="1">
      <alignment vertical="center"/>
    </xf>
    <xf numFmtId="0" fontId="16" fillId="0" borderId="0" xfId="0" applyFont="1" applyAlignment="1">
      <alignment horizontal="right" vertical="center"/>
    </xf>
    <xf numFmtId="0" fontId="16" fillId="0" borderId="2" xfId="1" applyNumberFormat="1" applyFont="1" applyBorder="1" applyAlignment="1">
      <alignment horizontal="center" vertical="center" wrapText="1"/>
    </xf>
    <xf numFmtId="3" fontId="6" fillId="2" borderId="0" xfId="0" applyNumberFormat="1" applyFont="1" applyFill="1" applyAlignment="1">
      <alignment horizontal="right" vertical="center" wrapText="1"/>
    </xf>
    <xf numFmtId="0" fontId="5" fillId="2" borderId="0" xfId="0" applyFont="1" applyFill="1"/>
    <xf numFmtId="0" fontId="5" fillId="2" borderId="0" xfId="0" applyFont="1" applyFill="1" applyAlignment="1">
      <alignment vertical="center"/>
    </xf>
    <xf numFmtId="0" fontId="9" fillId="2" borderId="0" xfId="0" applyFont="1" applyFill="1"/>
    <xf numFmtId="0" fontId="0" fillId="0" borderId="0" xfId="0" applyFill="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xf>
    <xf numFmtId="167" fontId="6" fillId="0" borderId="1" xfId="0" applyNumberFormat="1" applyFont="1" applyFill="1" applyBorder="1" applyAlignment="1">
      <alignment horizontal="center" vertical="center"/>
    </xf>
    <xf numFmtId="3" fontId="6" fillId="0" borderId="1" xfId="0" applyNumberFormat="1" applyFont="1" applyFill="1" applyBorder="1" applyAlignment="1">
      <alignment horizontal="center" vertical="center"/>
    </xf>
    <xf numFmtId="166" fontId="6" fillId="0" borderId="1" xfId="0" applyNumberFormat="1" applyFont="1" applyFill="1" applyBorder="1" applyAlignment="1">
      <alignment horizontal="center" vertical="center"/>
    </xf>
    <xf numFmtId="3" fontId="6" fillId="0" borderId="1" xfId="0" applyNumberFormat="1" applyFont="1" applyFill="1" applyBorder="1" applyAlignment="1">
      <alignment horizontal="right" vertical="center"/>
    </xf>
    <xf numFmtId="3" fontId="6" fillId="0" borderId="0" xfId="0" applyNumberFormat="1" applyFont="1" applyFill="1" applyAlignment="1">
      <alignment horizontal="right" vertical="center"/>
    </xf>
    <xf numFmtId="0" fontId="0" fillId="0" borderId="0" xfId="0" applyFill="1"/>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3" borderId="0" xfId="0" applyFont="1" applyFill="1" applyAlignment="1">
      <alignment horizontal="center"/>
    </xf>
    <xf numFmtId="0" fontId="5" fillId="2" borderId="0" xfId="0" applyFont="1" applyFill="1"/>
    <xf numFmtId="0" fontId="7" fillId="3" borderId="0" xfId="0" applyFont="1" applyFill="1" applyAlignment="1">
      <alignment horizontal="center" vertical="center" wrapText="1"/>
    </xf>
    <xf numFmtId="0" fontId="5" fillId="2" borderId="0" xfId="0" applyFont="1" applyFill="1" applyAlignment="1">
      <alignment vertical="center"/>
    </xf>
    <xf numFmtId="0" fontId="8" fillId="3" borderId="0" xfId="0" applyFont="1" applyFill="1" applyAlignment="1">
      <alignment horizontal="center" vertical="center" wrapText="1"/>
    </xf>
    <xf numFmtId="0" fontId="9" fillId="2" borderId="0" xfId="0" applyFont="1" applyFill="1"/>
    <xf numFmtId="3" fontId="38" fillId="4" borderId="3" xfId="0" applyNumberFormat="1" applyFont="1" applyFill="1" applyBorder="1" applyAlignment="1">
      <alignment horizontal="right" vertical="center" wrapText="1"/>
    </xf>
    <xf numFmtId="3" fontId="38" fillId="4" borderId="4" xfId="0" applyNumberFormat="1" applyFont="1" applyFill="1" applyBorder="1" applyAlignment="1">
      <alignment horizontal="right" vertical="center" wrapText="1"/>
    </xf>
    <xf numFmtId="3" fontId="38" fillId="4" borderId="5" xfId="0" applyNumberFormat="1" applyFont="1" applyFill="1" applyBorder="1" applyAlignment="1">
      <alignment horizontal="right" vertical="center" wrapText="1"/>
    </xf>
    <xf numFmtId="0" fontId="37" fillId="4" borderId="2" xfId="0" applyFont="1" applyFill="1" applyBorder="1" applyAlignment="1">
      <alignment horizontal="center" vertical="center" wrapText="1"/>
    </xf>
    <xf numFmtId="0" fontId="37" fillId="4" borderId="0" xfId="0" applyFont="1" applyFill="1" applyAlignment="1">
      <alignment horizontal="center" vertical="center" wrapText="1"/>
    </xf>
    <xf numFmtId="0" fontId="40" fillId="4" borderId="0" xfId="0" applyFont="1" applyFill="1" applyAlignment="1">
      <alignment horizontal="center" vertical="center" wrapText="1"/>
    </xf>
    <xf numFmtId="0" fontId="37" fillId="4" borderId="3" xfId="0" applyFont="1" applyFill="1" applyBorder="1" applyAlignment="1">
      <alignment horizontal="center" vertical="center" wrapText="1"/>
    </xf>
    <xf numFmtId="0" fontId="37" fillId="4" borderId="5" xfId="0" applyFont="1" applyFill="1" applyBorder="1" applyAlignment="1">
      <alignment horizontal="center" vertical="center" wrapText="1"/>
    </xf>
    <xf numFmtId="0" fontId="37" fillId="0" borderId="3" xfId="0" applyFont="1" applyBorder="1" applyAlignment="1">
      <alignment horizontal="center" vertical="center"/>
    </xf>
    <xf numFmtId="0" fontId="37" fillId="0" borderId="5" xfId="0" applyFont="1" applyBorder="1" applyAlignment="1">
      <alignment horizontal="center" vertical="center"/>
    </xf>
    <xf numFmtId="0" fontId="38" fillId="2" borderId="3" xfId="0" applyFont="1" applyFill="1" applyBorder="1" applyAlignment="1">
      <alignment horizontal="left" vertical="center" wrapText="1"/>
    </xf>
    <xf numFmtId="0" fontId="38" fillId="2" borderId="4" xfId="0" applyFont="1" applyFill="1" applyBorder="1" applyAlignment="1">
      <alignment horizontal="left" vertical="center" wrapText="1"/>
    </xf>
    <xf numFmtId="0" fontId="38" fillId="2" borderId="5" xfId="0" applyFont="1" applyFill="1" applyBorder="1" applyAlignment="1">
      <alignment horizontal="left" vertical="center" wrapText="1"/>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38" fillId="0" borderId="5" xfId="0" applyFont="1" applyBorder="1" applyAlignment="1">
      <alignment horizontal="center" vertical="center"/>
    </xf>
    <xf numFmtId="3" fontId="34" fillId="4" borderId="3" xfId="0" applyNumberFormat="1" applyFont="1" applyFill="1" applyBorder="1" applyAlignment="1">
      <alignment horizontal="right" vertical="center" wrapText="1"/>
    </xf>
    <xf numFmtId="3" fontId="34" fillId="4" borderId="4" xfId="0" applyNumberFormat="1" applyFont="1" applyFill="1" applyBorder="1" applyAlignment="1">
      <alignment horizontal="right" vertical="center" wrapText="1"/>
    </xf>
    <xf numFmtId="3" fontId="34" fillId="4" borderId="5" xfId="0" applyNumberFormat="1" applyFont="1" applyFill="1" applyBorder="1" applyAlignment="1">
      <alignment horizontal="right" vertical="center" wrapText="1"/>
    </xf>
    <xf numFmtId="170" fontId="38" fillId="4" borderId="3" xfId="1" applyNumberFormat="1" applyFont="1" applyFill="1" applyBorder="1" applyAlignment="1">
      <alignment horizontal="right" vertical="center" wrapText="1"/>
    </xf>
    <xf numFmtId="170" fontId="38" fillId="4" borderId="5" xfId="1" applyNumberFormat="1" applyFont="1" applyFill="1" applyBorder="1" applyAlignment="1">
      <alignment horizontal="right" vertical="center" wrapText="1"/>
    </xf>
    <xf numFmtId="0" fontId="40" fillId="4" borderId="9" xfId="0" applyFont="1" applyFill="1" applyBorder="1" applyAlignment="1">
      <alignment horizontal="center" vertical="center" wrapText="1"/>
    </xf>
    <xf numFmtId="170" fontId="38" fillId="4" borderId="4" xfId="1" applyNumberFormat="1" applyFont="1" applyFill="1" applyBorder="1" applyAlignment="1">
      <alignment horizontal="right" vertical="center" wrapText="1"/>
    </xf>
    <xf numFmtId="0" fontId="34" fillId="0" borderId="2" xfId="0" applyFont="1" applyBorder="1" applyAlignment="1">
      <alignment horizontal="center" vertical="center" wrapText="1"/>
    </xf>
    <xf numFmtId="0" fontId="34" fillId="0" borderId="0" xfId="0" applyFont="1" applyAlignment="1">
      <alignment horizontal="center" vertical="center" wrapText="1"/>
    </xf>
    <xf numFmtId="0" fontId="31" fillId="0" borderId="0" xfId="0" applyFont="1" applyAlignment="1">
      <alignment horizontal="center" vertical="center" wrapText="1"/>
    </xf>
    <xf numFmtId="0" fontId="34" fillId="2" borderId="0" xfId="0" applyFont="1" applyFill="1" applyBorder="1" applyAlignment="1">
      <alignment horizontal="center" vertical="center" wrapText="1"/>
    </xf>
    <xf numFmtId="3" fontId="14" fillId="2" borderId="0" xfId="0" applyNumberFormat="1" applyFont="1" applyFill="1" applyBorder="1" applyAlignment="1">
      <alignment horizontal="right" vertical="center"/>
    </xf>
    <xf numFmtId="3" fontId="2" fillId="2" borderId="0" xfId="0" applyNumberFormat="1" applyFont="1" applyFill="1" applyBorder="1" applyAlignment="1">
      <alignment horizontal="right" vertical="center"/>
    </xf>
    <xf numFmtId="3" fontId="16" fillId="0" borderId="0" xfId="0" applyNumberFormat="1" applyFont="1" applyBorder="1" applyAlignment="1">
      <alignment horizontal="right" vertical="center"/>
    </xf>
    <xf numFmtId="3" fontId="6" fillId="2" borderId="0" xfId="0" applyNumberFormat="1" applyFont="1" applyFill="1" applyBorder="1" applyAlignment="1">
      <alignment horizontal="right" vertical="center"/>
    </xf>
    <xf numFmtId="3" fontId="10" fillId="2" borderId="0" xfId="0" applyNumberFormat="1" applyFont="1" applyFill="1" applyBorder="1" applyAlignment="1">
      <alignment horizontal="right" vertical="center"/>
    </xf>
    <xf numFmtId="3" fontId="11" fillId="2" borderId="0" xfId="0" applyNumberFormat="1" applyFont="1" applyFill="1" applyBorder="1" applyAlignment="1">
      <alignment horizontal="right" vertical="center"/>
    </xf>
    <xf numFmtId="3" fontId="6" fillId="0" borderId="0" xfId="0" applyNumberFormat="1" applyFont="1" applyBorder="1" applyAlignment="1">
      <alignment horizontal="right" vertical="center"/>
    </xf>
    <xf numFmtId="49" fontId="3" fillId="2" borderId="0" xfId="0" applyNumberFormat="1" applyFont="1" applyFill="1" applyBorder="1" applyAlignment="1">
      <alignment vertical="top"/>
    </xf>
    <xf numFmtId="3" fontId="2" fillId="0" borderId="0" xfId="0" applyNumberFormat="1" applyFont="1" applyBorder="1" applyAlignment="1">
      <alignment horizontal="right" vertical="center"/>
    </xf>
    <xf numFmtId="3" fontId="3" fillId="2" borderId="0" xfId="0" applyNumberFormat="1" applyFont="1" applyFill="1" applyBorder="1" applyAlignment="1">
      <alignment horizontal="right" vertical="center"/>
    </xf>
    <xf numFmtId="3" fontId="16"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wrapText="1"/>
    </xf>
    <xf numFmtId="3" fontId="6" fillId="0" borderId="0" xfId="0" applyNumberFormat="1" applyFont="1" applyFill="1" applyBorder="1" applyAlignment="1">
      <alignment horizontal="right" vertical="center"/>
    </xf>
    <xf numFmtId="49" fontId="6" fillId="2" borderId="0" xfId="0" applyNumberFormat="1" applyFont="1" applyFill="1" applyBorder="1" applyAlignment="1">
      <alignment vertical="center" wrapText="1"/>
    </xf>
    <xf numFmtId="3" fontId="31" fillId="2" borderId="0" xfId="0" applyNumberFormat="1" applyFont="1" applyFill="1" applyBorder="1" applyAlignment="1">
      <alignment horizontal="right" vertical="center"/>
    </xf>
    <xf numFmtId="3" fontId="31" fillId="0" borderId="0" xfId="0" applyNumberFormat="1" applyFont="1" applyBorder="1" applyAlignment="1">
      <alignment horizontal="right" vertical="center"/>
    </xf>
  </cellXfs>
  <cellStyles count="3">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Huyen%20gui\Truy%20thu%20dat%20o\PA%20tr&#236;nh%202%20h&#7897;%20Hoa,%20Pho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ương án 2 hộ"/>
      <sheetName val="Quàng Văn Đoàn"/>
      <sheetName val="Biểu TH"/>
      <sheetName val="TRuy thu 1 "/>
    </sheetNames>
    <sheetDataSet>
      <sheetData sheetId="0">
        <row r="124">
          <cell r="E124">
            <v>0</v>
          </cell>
        </row>
      </sheetData>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VuHoan VuHoan" id="{4E61A70A-F1AC-447F-81E2-4A0EDE762CF6}" userId="3c7d3bf35a5d0cb7"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9" dT="2026-04-24T07:44:21.73" personId="{4E61A70A-F1AC-447F-81E2-4A0EDE762CF6}" id="{F8072A0B-60C5-49FC-9F68-4496019F64CB}">
    <text>Vị trí Trục đường nào a</text>
  </threadedComment>
  <threadedComment ref="I48" dT="2026-04-24T08:20:01.22" personId="{4E61A70A-F1AC-447F-81E2-4A0EDE762CF6}" id="{DC496924-71F7-41FB-8A72-E4D95F2AA421}">
    <text>Ghi rõ trục đường áp giá</text>
  </threadedComment>
  <threadedComment ref="I100" dT="2026-04-24T08:26:04.15" personId="{4E61A70A-F1AC-447F-81E2-4A0EDE762CF6}" id="{5C0C242A-1959-4BE6-9E78-23EEEC7AE5D4}">
    <text>GHI RÕ TRỤC ĐƯỜNG</text>
  </threadedComment>
  <threadedComment ref="I145" dT="2026-04-24T08:09:06.03" personId="{4E61A70A-F1AC-447F-81E2-4A0EDE762CF6}" id="{7412E827-AA66-4E9B-8A14-F388F388A2BD}">
    <text>GHI RÕ TRỤC ĐƯỜNG Vị trí đất</text>
  </threadedComment>
  <threadedComment ref="I200" dT="2026-04-24T08:10:10.20" personId="{4E61A70A-F1AC-447F-81E2-4A0EDE762CF6}" id="{377D29CB-6B5E-46DE-83C3-DDAD41C24038}">
    <text xml:space="preserve">Ghi rõ vị trí đất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72"/>
  <sheetViews>
    <sheetView tabSelected="1" topLeftCell="B256" zoomScaleNormal="100" zoomScaleSheetLayoutView="100" workbookViewId="0">
      <selection activeCell="O9" sqref="O9"/>
    </sheetView>
  </sheetViews>
  <sheetFormatPr defaultColWidth="9.140625" defaultRowHeight="15" x14ac:dyDescent="0.25"/>
  <cols>
    <col min="1" max="1" width="3.42578125" style="5" hidden="1" customWidth="1"/>
    <col min="2" max="2" width="5" style="5" customWidth="1"/>
    <col min="3" max="3" width="32.28515625" style="2" customWidth="1"/>
    <col min="4" max="4" width="5.42578125" style="3" customWidth="1"/>
    <col min="5" max="5" width="4.28515625" style="2" customWidth="1"/>
    <col min="6" max="6" width="6.140625" style="2" customWidth="1"/>
    <col min="7" max="7" width="10" style="11" customWidth="1"/>
    <col min="8" max="8" width="9.42578125" style="8" customWidth="1"/>
    <col min="9" max="9" width="11.85546875" style="7" customWidth="1"/>
    <col min="10" max="10" width="5.42578125" style="6" customWidth="1"/>
    <col min="11" max="15" width="14.140625" style="15" customWidth="1"/>
    <col min="16" max="16" width="14.5703125" style="5" customWidth="1"/>
    <col min="17" max="16384" width="9.140625" style="2"/>
  </cols>
  <sheetData>
    <row r="1" spans="1:16" ht="16.5" x14ac:dyDescent="0.25">
      <c r="B1" s="266" t="s">
        <v>0</v>
      </c>
      <c r="C1" s="267"/>
      <c r="D1" s="267"/>
      <c r="E1" s="267"/>
      <c r="F1" s="267"/>
      <c r="G1" s="267"/>
      <c r="H1" s="267"/>
      <c r="I1" s="267"/>
      <c r="J1" s="267"/>
      <c r="K1" s="267"/>
      <c r="L1" s="249"/>
      <c r="M1" s="249"/>
      <c r="N1" s="249"/>
      <c r="O1" s="1"/>
    </row>
    <row r="2" spans="1:16" ht="27.75" customHeight="1" x14ac:dyDescent="0.25">
      <c r="B2" s="268" t="s">
        <v>172</v>
      </c>
      <c r="C2" s="269"/>
      <c r="D2" s="269"/>
      <c r="E2" s="269"/>
      <c r="F2" s="269"/>
      <c r="G2" s="269"/>
      <c r="H2" s="269"/>
      <c r="I2" s="269"/>
      <c r="J2" s="269"/>
      <c r="K2" s="269"/>
      <c r="L2" s="250"/>
      <c r="M2" s="250"/>
      <c r="N2" s="250"/>
      <c r="O2" s="114"/>
    </row>
    <row r="3" spans="1:16" ht="33.75" customHeight="1" x14ac:dyDescent="0.25">
      <c r="B3" s="270" t="s">
        <v>266</v>
      </c>
      <c r="C3" s="271"/>
      <c r="D3" s="271"/>
      <c r="E3" s="271"/>
      <c r="F3" s="271"/>
      <c r="G3" s="271"/>
      <c r="H3" s="271"/>
      <c r="I3" s="271"/>
      <c r="J3" s="271"/>
      <c r="K3" s="271"/>
      <c r="L3" s="251"/>
      <c r="M3" s="251"/>
      <c r="N3" s="251"/>
      <c r="O3" s="18"/>
    </row>
    <row r="4" spans="1:16" ht="16.5" customHeight="1" x14ac:dyDescent="0.25">
      <c r="B4" s="17"/>
      <c r="C4" s="18"/>
      <c r="D4" s="18"/>
      <c r="E4" s="18"/>
      <c r="F4" s="18"/>
      <c r="G4" s="18"/>
      <c r="H4" s="18"/>
      <c r="I4" s="18"/>
      <c r="J4" s="18"/>
      <c r="K4" s="192" t="s">
        <v>235</v>
      </c>
      <c r="L4" s="192"/>
      <c r="M4" s="192"/>
      <c r="N4" s="192"/>
      <c r="O4" s="18"/>
    </row>
    <row r="5" spans="1:16" ht="37.5" customHeight="1" x14ac:dyDescent="0.25">
      <c r="B5" s="191" t="s">
        <v>2</v>
      </c>
      <c r="C5" s="191" t="s">
        <v>229</v>
      </c>
      <c r="D5" s="191" t="s">
        <v>1</v>
      </c>
      <c r="E5" s="191" t="s">
        <v>234</v>
      </c>
      <c r="F5" s="191" t="s">
        <v>4</v>
      </c>
      <c r="G5" s="191" t="s">
        <v>230</v>
      </c>
      <c r="H5" s="191" t="s">
        <v>231</v>
      </c>
      <c r="I5" s="191" t="s">
        <v>232</v>
      </c>
      <c r="J5" s="191" t="s">
        <v>5</v>
      </c>
      <c r="K5" s="191" t="s">
        <v>233</v>
      </c>
      <c r="L5" s="298"/>
      <c r="M5" s="298"/>
      <c r="N5" s="298"/>
      <c r="O5" s="18"/>
    </row>
    <row r="6" spans="1:16" ht="29.25" customHeight="1" x14ac:dyDescent="0.25">
      <c r="A6" s="5">
        <v>1</v>
      </c>
      <c r="B6" s="20">
        <v>1</v>
      </c>
      <c r="C6" s="27" t="s">
        <v>15</v>
      </c>
      <c r="D6" s="21"/>
      <c r="E6" s="21"/>
      <c r="F6" s="21"/>
      <c r="G6" s="22"/>
      <c r="H6" s="23"/>
      <c r="I6" s="24"/>
      <c r="J6" s="25"/>
      <c r="K6" s="26">
        <f>SUBTOTAL(9,K8,K11,K31,K43,K44)</f>
        <v>228227076.65406412</v>
      </c>
      <c r="L6" s="299"/>
      <c r="M6" s="299"/>
      <c r="N6" s="299"/>
      <c r="O6" s="145">
        <v>236634627.02406412</v>
      </c>
      <c r="P6" s="167">
        <f>K6-O6</f>
        <v>-8407550.3700000048</v>
      </c>
    </row>
    <row r="7" spans="1:16" ht="21" customHeight="1" x14ac:dyDescent="0.25">
      <c r="B7" s="20"/>
      <c r="C7" s="115" t="s">
        <v>198</v>
      </c>
      <c r="D7" s="21"/>
      <c r="E7" s="21"/>
      <c r="F7" s="21"/>
      <c r="G7" s="22"/>
      <c r="H7" s="23"/>
      <c r="I7" s="24"/>
      <c r="J7" s="25"/>
      <c r="K7" s="26"/>
      <c r="L7" s="299"/>
      <c r="M7" s="299"/>
      <c r="N7" s="299"/>
      <c r="O7" s="145"/>
    </row>
    <row r="8" spans="1:16" ht="102" customHeight="1" x14ac:dyDescent="0.25">
      <c r="B8" s="29" t="s">
        <v>6</v>
      </c>
      <c r="C8" s="69" t="s">
        <v>218</v>
      </c>
      <c r="D8" s="29"/>
      <c r="E8" s="29"/>
      <c r="F8" s="29"/>
      <c r="G8" s="31">
        <f>SUM(G9:G9)</f>
        <v>398.4</v>
      </c>
      <c r="H8" s="32"/>
      <c r="I8" s="33"/>
      <c r="J8" s="34"/>
      <c r="K8" s="35">
        <f>SUM(K9:K9)</f>
        <v>52987200</v>
      </c>
      <c r="L8" s="300"/>
      <c r="M8" s="300"/>
      <c r="N8" s="300"/>
      <c r="O8" s="146"/>
    </row>
    <row r="9" spans="1:16" s="13" customFormat="1" ht="117.75" customHeight="1" x14ac:dyDescent="0.25">
      <c r="A9" s="119"/>
      <c r="B9" s="36"/>
      <c r="C9" s="37" t="s">
        <v>272</v>
      </c>
      <c r="D9" s="36" t="s">
        <v>39</v>
      </c>
      <c r="E9" s="36">
        <v>1</v>
      </c>
      <c r="F9" s="36">
        <v>122</v>
      </c>
      <c r="G9" s="38">
        <v>398.4</v>
      </c>
      <c r="H9" s="39"/>
      <c r="I9" s="40">
        <v>133000</v>
      </c>
      <c r="J9" s="41"/>
      <c r="K9" s="42">
        <f>I9*G9</f>
        <v>52987200</v>
      </c>
      <c r="L9" s="301"/>
      <c r="M9" s="301"/>
      <c r="N9" s="301"/>
      <c r="O9" s="147"/>
      <c r="P9" s="119"/>
    </row>
    <row r="10" spans="1:16" s="13" customFormat="1" ht="100.5" customHeight="1" x14ac:dyDescent="0.25">
      <c r="A10" s="119"/>
      <c r="B10" s="36"/>
      <c r="C10" s="158" t="s">
        <v>217</v>
      </c>
      <c r="D10" s="159"/>
      <c r="E10" s="159"/>
      <c r="F10" s="159"/>
      <c r="G10" s="160"/>
      <c r="H10" s="161"/>
      <c r="I10" s="162"/>
      <c r="J10" s="163"/>
      <c r="K10" s="42"/>
      <c r="L10" s="301"/>
      <c r="M10" s="301"/>
      <c r="N10" s="301"/>
      <c r="O10" s="246">
        <v>2013</v>
      </c>
      <c r="P10" s="119"/>
    </row>
    <row r="11" spans="1:16" ht="36.75" customHeight="1" x14ac:dyDescent="0.25">
      <c r="B11" s="29" t="s">
        <v>7</v>
      </c>
      <c r="C11" s="30" t="s">
        <v>14</v>
      </c>
      <c r="D11" s="29"/>
      <c r="E11" s="29"/>
      <c r="F11" s="29"/>
      <c r="G11" s="31"/>
      <c r="H11" s="32"/>
      <c r="I11" s="49"/>
      <c r="J11" s="34"/>
      <c r="K11" s="35">
        <f>SUM(K12:K30)</f>
        <v>170434632.29406413</v>
      </c>
      <c r="L11" s="300"/>
      <c r="M11" s="300"/>
      <c r="N11" s="300"/>
      <c r="O11" s="146"/>
    </row>
    <row r="12" spans="1:16" ht="228" customHeight="1" x14ac:dyDescent="0.25">
      <c r="B12" s="43" t="s">
        <v>223</v>
      </c>
      <c r="C12" s="50" t="s">
        <v>273</v>
      </c>
      <c r="D12" s="51" t="s">
        <v>11</v>
      </c>
      <c r="E12" s="43"/>
      <c r="F12" s="43"/>
      <c r="G12" s="45">
        <f>9.2*4.6</f>
        <v>42.319999999999993</v>
      </c>
      <c r="H12" s="46"/>
      <c r="I12" s="47">
        <f>4300000</f>
        <v>4300000</v>
      </c>
      <c r="J12" s="48"/>
      <c r="K12" s="28">
        <f>I12*G12</f>
        <v>181975999.99999997</v>
      </c>
      <c r="L12" s="302"/>
      <c r="M12" s="302"/>
      <c r="N12" s="302"/>
      <c r="O12" s="148"/>
    </row>
    <row r="13" spans="1:16" s="9" customFormat="1" ht="27.75" customHeight="1" x14ac:dyDescent="0.25">
      <c r="A13" s="120"/>
      <c r="B13" s="43" t="s">
        <v>222</v>
      </c>
      <c r="C13" s="52" t="s">
        <v>67</v>
      </c>
      <c r="D13" s="53"/>
      <c r="E13" s="54"/>
      <c r="F13" s="54"/>
      <c r="G13" s="55">
        <f>2.78*1.35</f>
        <v>3.7530000000000001</v>
      </c>
      <c r="H13" s="56"/>
      <c r="I13" s="57">
        <v>-4300000</v>
      </c>
      <c r="J13" s="58"/>
      <c r="K13" s="59">
        <f>I13*G13</f>
        <v>-16137900</v>
      </c>
      <c r="L13" s="303"/>
      <c r="M13" s="303"/>
      <c r="N13" s="303"/>
      <c r="O13" s="149"/>
      <c r="P13" s="120"/>
    </row>
    <row r="14" spans="1:16" s="9" customFormat="1" ht="24.75" customHeight="1" x14ac:dyDescent="0.25">
      <c r="A14" s="120"/>
      <c r="B14" s="43" t="s">
        <v>222</v>
      </c>
      <c r="C14" s="52" t="s">
        <v>47</v>
      </c>
      <c r="D14" s="60" t="s">
        <v>46</v>
      </c>
      <c r="E14" s="54"/>
      <c r="F14" s="54"/>
      <c r="G14" s="55">
        <f>9.2*4.6</f>
        <v>42.319999999999993</v>
      </c>
      <c r="H14" s="56"/>
      <c r="I14" s="57">
        <v>-90900</v>
      </c>
      <c r="J14" s="58"/>
      <c r="K14" s="59">
        <f>I14*G14</f>
        <v>-3846887.9999999995</v>
      </c>
      <c r="L14" s="303"/>
      <c r="M14" s="303"/>
      <c r="N14" s="303"/>
      <c r="O14" s="149"/>
      <c r="P14" s="120"/>
    </row>
    <row r="15" spans="1:16" s="9" customFormat="1" ht="36.75" customHeight="1" x14ac:dyDescent="0.25">
      <c r="A15" s="120"/>
      <c r="B15" s="43" t="s">
        <v>222</v>
      </c>
      <c r="C15" s="52" t="s">
        <v>66</v>
      </c>
      <c r="D15" s="60" t="s">
        <v>17</v>
      </c>
      <c r="E15" s="54"/>
      <c r="F15" s="54"/>
      <c r="G15" s="55">
        <f>(4.6*2*3.7)*0.1</f>
        <v>3.4039999999999999</v>
      </c>
      <c r="H15" s="56"/>
      <c r="I15" s="57">
        <v>-1297815</v>
      </c>
      <c r="J15" s="58"/>
      <c r="K15" s="59">
        <f t="shared" ref="K15" si="0">I15*G15</f>
        <v>-4417762.26</v>
      </c>
      <c r="L15" s="303"/>
      <c r="M15" s="303"/>
      <c r="N15" s="303"/>
      <c r="O15" s="149"/>
      <c r="P15" s="120"/>
    </row>
    <row r="16" spans="1:16" s="9" customFormat="1" ht="27" customHeight="1" x14ac:dyDescent="0.25">
      <c r="A16" s="120"/>
      <c r="B16" s="43" t="s">
        <v>222</v>
      </c>
      <c r="C16" s="52" t="s">
        <v>48</v>
      </c>
      <c r="D16" s="60" t="s">
        <v>17</v>
      </c>
      <c r="E16" s="54"/>
      <c r="F16" s="54"/>
      <c r="G16" s="55">
        <f>((9.2*0.5)+(4.6*0.5))*2*0.1</f>
        <v>1.38</v>
      </c>
      <c r="H16" s="56"/>
      <c r="I16" s="57">
        <v>-1297815</v>
      </c>
      <c r="J16" s="58"/>
      <c r="K16" s="59">
        <f t="shared" ref="K16:K22" si="1">I16*G16</f>
        <v>-1790984.7</v>
      </c>
      <c r="L16" s="303"/>
      <c r="M16" s="303"/>
      <c r="N16" s="303"/>
      <c r="O16" s="149"/>
      <c r="P16" s="120"/>
    </row>
    <row r="17" spans="1:16" s="16" customFormat="1" ht="27" customHeight="1" x14ac:dyDescent="0.25">
      <c r="A17" s="121"/>
      <c r="B17" s="43" t="s">
        <v>222</v>
      </c>
      <c r="C17" s="61" t="s">
        <v>140</v>
      </c>
      <c r="D17" s="62" t="s">
        <v>177</v>
      </c>
      <c r="E17" s="63"/>
      <c r="F17" s="63"/>
      <c r="G17" s="64">
        <f>3*2.9</f>
        <v>8.6999999999999993</v>
      </c>
      <c r="H17" s="65"/>
      <c r="I17" s="66">
        <v>-450000</v>
      </c>
      <c r="J17" s="67"/>
      <c r="K17" s="68">
        <f t="shared" si="1"/>
        <v>-3914999.9999999995</v>
      </c>
      <c r="L17" s="304"/>
      <c r="M17" s="304"/>
      <c r="N17" s="304"/>
      <c r="O17" s="150"/>
      <c r="P17" s="121"/>
    </row>
    <row r="18" spans="1:16" s="16" customFormat="1" ht="50.25" customHeight="1" x14ac:dyDescent="0.25">
      <c r="A18" s="121"/>
      <c r="B18" s="43" t="s">
        <v>222</v>
      </c>
      <c r="C18" s="61" t="s">
        <v>180</v>
      </c>
      <c r="D18" s="62" t="s">
        <v>177</v>
      </c>
      <c r="E18" s="63"/>
      <c r="F18" s="63"/>
      <c r="G18" s="64">
        <f>2*0.9</f>
        <v>1.8</v>
      </c>
      <c r="H18" s="65"/>
      <c r="I18" s="66">
        <v>-2500000</v>
      </c>
      <c r="J18" s="67"/>
      <c r="K18" s="68">
        <f t="shared" si="1"/>
        <v>-4500000</v>
      </c>
      <c r="L18" s="304"/>
      <c r="M18" s="304"/>
      <c r="N18" s="304"/>
      <c r="O18" s="150"/>
      <c r="P18" s="121"/>
    </row>
    <row r="19" spans="1:16" s="16" customFormat="1" ht="38.25" customHeight="1" x14ac:dyDescent="0.25">
      <c r="A19" s="121"/>
      <c r="B19" s="43" t="s">
        <v>222</v>
      </c>
      <c r="C19" s="61" t="s">
        <v>181</v>
      </c>
      <c r="D19" s="62" t="s">
        <v>177</v>
      </c>
      <c r="E19" s="63"/>
      <c r="F19" s="63"/>
      <c r="G19" s="64">
        <f>2*0.9</f>
        <v>1.8</v>
      </c>
      <c r="H19" s="65"/>
      <c r="I19" s="66">
        <v>178600</v>
      </c>
      <c r="J19" s="67"/>
      <c r="K19" s="68">
        <f t="shared" si="1"/>
        <v>321480</v>
      </c>
      <c r="L19" s="304"/>
      <c r="M19" s="304"/>
      <c r="N19" s="304"/>
      <c r="O19" s="150"/>
      <c r="P19" s="121"/>
    </row>
    <row r="20" spans="1:16" ht="31.5" customHeight="1" x14ac:dyDescent="0.25">
      <c r="B20" s="54" t="s">
        <v>223</v>
      </c>
      <c r="C20" s="69" t="s">
        <v>151</v>
      </c>
      <c r="D20" s="51" t="s">
        <v>11</v>
      </c>
      <c r="E20" s="43"/>
      <c r="F20" s="43"/>
      <c r="G20" s="45">
        <f>2.7*4.7</f>
        <v>12.690000000000001</v>
      </c>
      <c r="H20" s="46"/>
      <c r="I20" s="47">
        <v>657100</v>
      </c>
      <c r="J20" s="48"/>
      <c r="K20" s="28">
        <f t="shared" si="1"/>
        <v>8338599.0000000009</v>
      </c>
      <c r="L20" s="302"/>
      <c r="M20" s="302"/>
      <c r="N20" s="302"/>
      <c r="O20" s="148"/>
    </row>
    <row r="21" spans="1:16" s="9" customFormat="1" ht="37.5" customHeight="1" x14ac:dyDescent="0.25">
      <c r="A21" s="120"/>
      <c r="B21" s="54"/>
      <c r="C21" s="52" t="s">
        <v>113</v>
      </c>
      <c r="D21" s="60" t="s">
        <v>17</v>
      </c>
      <c r="E21" s="54"/>
      <c r="F21" s="54"/>
      <c r="G21" s="55">
        <f>2.7*4.7*0.1</f>
        <v>1.2690000000000001</v>
      </c>
      <c r="H21" s="56"/>
      <c r="I21" s="57">
        <v>-1290700</v>
      </c>
      <c r="J21" s="58"/>
      <c r="K21" s="59">
        <f t="shared" si="1"/>
        <v>-1637898.3000000003</v>
      </c>
      <c r="L21" s="303"/>
      <c r="M21" s="303"/>
      <c r="N21" s="303"/>
      <c r="O21" s="149"/>
      <c r="P21" s="120"/>
    </row>
    <row r="22" spans="1:16" ht="42" customHeight="1" x14ac:dyDescent="0.25">
      <c r="B22" s="54" t="s">
        <v>223</v>
      </c>
      <c r="C22" s="69" t="s">
        <v>129</v>
      </c>
      <c r="D22" s="51" t="s">
        <v>58</v>
      </c>
      <c r="E22" s="43"/>
      <c r="F22" s="43"/>
      <c r="G22" s="45">
        <v>2</v>
      </c>
      <c r="H22" s="46"/>
      <c r="I22" s="47">
        <f>2564900*(1.9/2.2)</f>
        <v>2215140.9090909087</v>
      </c>
      <c r="J22" s="48"/>
      <c r="K22" s="28">
        <f t="shared" si="1"/>
        <v>4430281.8181818174</v>
      </c>
      <c r="L22" s="302"/>
      <c r="M22" s="302"/>
      <c r="N22" s="302"/>
      <c r="O22" s="148"/>
    </row>
    <row r="23" spans="1:16" ht="34.5" customHeight="1" x14ac:dyDescent="0.25">
      <c r="B23" s="43" t="s">
        <v>223</v>
      </c>
      <c r="C23" s="69" t="s">
        <v>130</v>
      </c>
      <c r="D23" s="51" t="s">
        <v>11</v>
      </c>
      <c r="E23" s="43"/>
      <c r="F23" s="43"/>
      <c r="G23" s="45">
        <f>0.9*1.7*2</f>
        <v>3.06</v>
      </c>
      <c r="H23" s="46"/>
      <c r="I23" s="47">
        <v>310000</v>
      </c>
      <c r="J23" s="48"/>
      <c r="K23" s="28">
        <f t="shared" ref="K23:K24" si="2">I23*G23</f>
        <v>948600</v>
      </c>
      <c r="L23" s="302"/>
      <c r="M23" s="302"/>
      <c r="N23" s="302"/>
      <c r="O23" s="148"/>
    </row>
    <row r="24" spans="1:16" ht="33" customHeight="1" x14ac:dyDescent="0.25">
      <c r="B24" s="54" t="s">
        <v>223</v>
      </c>
      <c r="C24" s="69" t="s">
        <v>68</v>
      </c>
      <c r="D24" s="43" t="s">
        <v>69</v>
      </c>
      <c r="E24" s="43"/>
      <c r="F24" s="43"/>
      <c r="G24" s="45">
        <f>2.3+2.7</f>
        <v>5</v>
      </c>
      <c r="H24" s="46"/>
      <c r="I24" s="47">
        <f>1.1/1.7*815000</f>
        <v>527352.9411764706</v>
      </c>
      <c r="J24" s="48"/>
      <c r="K24" s="28">
        <f t="shared" si="2"/>
        <v>2636764.7058823528</v>
      </c>
      <c r="L24" s="302"/>
      <c r="M24" s="302"/>
      <c r="N24" s="302"/>
      <c r="O24" s="148"/>
    </row>
    <row r="25" spans="1:16" s="9" customFormat="1" ht="29.25" customHeight="1" x14ac:dyDescent="0.25">
      <c r="A25" s="120"/>
      <c r="B25" s="54"/>
      <c r="C25" s="52" t="s">
        <v>171</v>
      </c>
      <c r="D25" s="54"/>
      <c r="E25" s="54"/>
      <c r="F25" s="54"/>
      <c r="G25" s="55">
        <f>G24*1.1*2</f>
        <v>11</v>
      </c>
      <c r="H25" s="56"/>
      <c r="I25" s="57">
        <v>-52400</v>
      </c>
      <c r="J25" s="58"/>
      <c r="K25" s="59">
        <f>I25*G25</f>
        <v>-576400</v>
      </c>
      <c r="L25" s="303"/>
      <c r="M25" s="303"/>
      <c r="N25" s="303"/>
      <c r="O25" s="149"/>
      <c r="P25" s="120"/>
    </row>
    <row r="26" spans="1:16" ht="51.75" customHeight="1" x14ac:dyDescent="0.25">
      <c r="B26" s="43" t="s">
        <v>223</v>
      </c>
      <c r="C26" s="69" t="s">
        <v>150</v>
      </c>
      <c r="D26" s="51" t="s">
        <v>11</v>
      </c>
      <c r="E26" s="43"/>
      <c r="F26" s="43"/>
      <c r="G26" s="45">
        <f>2.4*4.5</f>
        <v>10.799999999999999</v>
      </c>
      <c r="H26" s="46"/>
      <c r="I26" s="47">
        <v>411000</v>
      </c>
      <c r="J26" s="48"/>
      <c r="K26" s="28">
        <f t="shared" ref="K26:K29" si="3">I26*G26</f>
        <v>4438800</v>
      </c>
      <c r="L26" s="302"/>
      <c r="M26" s="302"/>
      <c r="N26" s="302"/>
      <c r="O26" s="148"/>
    </row>
    <row r="27" spans="1:16" ht="51.75" customHeight="1" x14ac:dyDescent="0.25">
      <c r="B27" s="43" t="s">
        <v>223</v>
      </c>
      <c r="C27" s="69" t="s">
        <v>194</v>
      </c>
      <c r="D27" s="51" t="s">
        <v>193</v>
      </c>
      <c r="E27" s="43"/>
      <c r="F27" s="43"/>
      <c r="G27" s="45">
        <f>(4.5+2.4+4.5)*0.11*3</f>
        <v>3.762</v>
      </c>
      <c r="H27" s="46"/>
      <c r="I27" s="57">
        <v>1297815</v>
      </c>
      <c r="J27" s="48"/>
      <c r="K27" s="28">
        <f t="shared" si="3"/>
        <v>4882380.03</v>
      </c>
      <c r="L27" s="302"/>
      <c r="M27" s="302"/>
      <c r="N27" s="302"/>
      <c r="O27" s="148"/>
    </row>
    <row r="28" spans="1:16" s="9" customFormat="1" ht="32.25" customHeight="1" x14ac:dyDescent="0.25">
      <c r="A28" s="120"/>
      <c r="B28" s="54" t="s">
        <v>222</v>
      </c>
      <c r="C28" s="52" t="s">
        <v>195</v>
      </c>
      <c r="D28" s="51" t="s">
        <v>11</v>
      </c>
      <c r="E28" s="54"/>
      <c r="F28" s="54"/>
      <c r="G28" s="55">
        <f>(4.5+2.4+4.5)*3</f>
        <v>34.200000000000003</v>
      </c>
      <c r="H28" s="56"/>
      <c r="I28" s="57">
        <v>-85800</v>
      </c>
      <c r="J28" s="58"/>
      <c r="K28" s="59">
        <f t="shared" si="3"/>
        <v>-2934360.0000000005</v>
      </c>
      <c r="L28" s="303"/>
      <c r="M28" s="303"/>
      <c r="N28" s="303"/>
      <c r="O28" s="149"/>
      <c r="P28" s="120"/>
    </row>
    <row r="29" spans="1:16" s="9" customFormat="1" ht="28.5" customHeight="1" x14ac:dyDescent="0.25">
      <c r="A29" s="120"/>
      <c r="B29" s="54" t="s">
        <v>222</v>
      </c>
      <c r="C29" s="52" t="s">
        <v>196</v>
      </c>
      <c r="D29" s="51" t="s">
        <v>11</v>
      </c>
      <c r="E29" s="54"/>
      <c r="F29" s="54"/>
      <c r="G29" s="55">
        <f>(4.5+2.4+4.5)*3</f>
        <v>34.200000000000003</v>
      </c>
      <c r="H29" s="56"/>
      <c r="I29" s="57">
        <v>-52400</v>
      </c>
      <c r="J29" s="58"/>
      <c r="K29" s="59">
        <f t="shared" si="3"/>
        <v>-1792080.0000000002</v>
      </c>
      <c r="L29" s="303"/>
      <c r="M29" s="303"/>
      <c r="N29" s="303"/>
      <c r="O29" s="149"/>
      <c r="P29" s="120"/>
    </row>
    <row r="30" spans="1:16" ht="32.25" customHeight="1" x14ac:dyDescent="0.25">
      <c r="B30" s="54" t="s">
        <v>223</v>
      </c>
      <c r="C30" s="69" t="s">
        <v>70</v>
      </c>
      <c r="D30" s="43" t="s">
        <v>69</v>
      </c>
      <c r="E30" s="43"/>
      <c r="F30" s="43"/>
      <c r="G30" s="45">
        <v>35</v>
      </c>
      <c r="H30" s="46"/>
      <c r="I30" s="47">
        <f>114600</f>
        <v>114600</v>
      </c>
      <c r="J30" s="48"/>
      <c r="K30" s="28">
        <f t="shared" ref="K30" si="4">I30*G30</f>
        <v>4011000</v>
      </c>
      <c r="L30" s="302"/>
      <c r="M30" s="302"/>
      <c r="N30" s="302"/>
      <c r="O30" s="148"/>
    </row>
    <row r="31" spans="1:16" ht="31.5" x14ac:dyDescent="0.25">
      <c r="B31" s="29" t="s">
        <v>8</v>
      </c>
      <c r="C31" s="30" t="s">
        <v>10</v>
      </c>
      <c r="D31" s="29"/>
      <c r="E31" s="29"/>
      <c r="F31" s="29"/>
      <c r="G31" s="31"/>
      <c r="H31" s="32"/>
      <c r="I31" s="49"/>
      <c r="J31" s="34"/>
      <c r="K31" s="35">
        <f>SUM(K32:K42)</f>
        <v>4805244.3599999994</v>
      </c>
      <c r="L31" s="300"/>
      <c r="M31" s="300"/>
      <c r="N31" s="300"/>
      <c r="O31" s="146"/>
    </row>
    <row r="32" spans="1:16" ht="17.25" customHeight="1" x14ac:dyDescent="0.25">
      <c r="B32" s="43"/>
      <c r="C32" s="69" t="s">
        <v>71</v>
      </c>
      <c r="D32" s="51" t="s">
        <v>49</v>
      </c>
      <c r="E32" s="43"/>
      <c r="F32" s="43"/>
      <c r="G32" s="45">
        <v>110</v>
      </c>
      <c r="H32" s="46">
        <v>1.0349999999999999</v>
      </c>
      <c r="I32" s="47">
        <v>4400</v>
      </c>
      <c r="J32" s="48">
        <v>0.7</v>
      </c>
      <c r="K32" s="28">
        <f>J32*I32*H32*G32</f>
        <v>350657.99999999994</v>
      </c>
      <c r="L32" s="302"/>
      <c r="M32" s="302"/>
      <c r="N32" s="302"/>
      <c r="O32" s="148"/>
    </row>
    <row r="33" spans="1:16" ht="24.75" customHeight="1" x14ac:dyDescent="0.25">
      <c r="B33" s="43"/>
      <c r="C33" s="69" t="s">
        <v>72</v>
      </c>
      <c r="D33" s="43" t="s">
        <v>12</v>
      </c>
      <c r="E33" s="43"/>
      <c r="F33" s="43"/>
      <c r="G33" s="45">
        <v>2</v>
      </c>
      <c r="H33" s="46"/>
      <c r="I33" s="47">
        <v>125000</v>
      </c>
      <c r="J33" s="48">
        <v>0.7</v>
      </c>
      <c r="K33" s="28">
        <f>I33*G33*J33</f>
        <v>175000</v>
      </c>
      <c r="L33" s="302"/>
      <c r="M33" s="302"/>
      <c r="N33" s="302"/>
      <c r="O33" s="148"/>
    </row>
    <row r="34" spans="1:16" ht="24.75" customHeight="1" x14ac:dyDescent="0.25">
      <c r="B34" s="43"/>
      <c r="C34" s="69" t="s">
        <v>112</v>
      </c>
      <c r="D34" s="43" t="s">
        <v>74</v>
      </c>
      <c r="E34" s="43"/>
      <c r="F34" s="43"/>
      <c r="G34" s="45">
        <v>1</v>
      </c>
      <c r="H34" s="46"/>
      <c r="I34" s="47">
        <v>88000</v>
      </c>
      <c r="J34" s="48">
        <v>0.7</v>
      </c>
      <c r="K34" s="28">
        <f>I34*G34*J34</f>
        <v>61599.999999999993</v>
      </c>
      <c r="L34" s="302"/>
      <c r="M34" s="302"/>
      <c r="N34" s="302"/>
      <c r="O34" s="148"/>
    </row>
    <row r="35" spans="1:16" ht="18.75" customHeight="1" x14ac:dyDescent="0.25">
      <c r="B35" s="43"/>
      <c r="C35" s="69" t="s">
        <v>75</v>
      </c>
      <c r="D35" s="43" t="s">
        <v>73</v>
      </c>
      <c r="E35" s="43"/>
      <c r="F35" s="43"/>
      <c r="G35" s="45">
        <v>1</v>
      </c>
      <c r="H35" s="46"/>
      <c r="I35" s="47">
        <v>75000</v>
      </c>
      <c r="J35" s="48">
        <v>0.7</v>
      </c>
      <c r="K35" s="28">
        <f>I35*G35*J35</f>
        <v>52500</v>
      </c>
      <c r="L35" s="302"/>
      <c r="M35" s="302"/>
      <c r="N35" s="302"/>
      <c r="O35" s="148"/>
    </row>
    <row r="36" spans="1:16" ht="15.75" x14ac:dyDescent="0.25">
      <c r="B36" s="43"/>
      <c r="C36" s="69" t="s">
        <v>131</v>
      </c>
      <c r="D36" s="43" t="s">
        <v>49</v>
      </c>
      <c r="E36" s="43"/>
      <c r="F36" s="43"/>
      <c r="G36" s="45">
        <v>1</v>
      </c>
      <c r="H36" s="46">
        <f>19.006*22</f>
        <v>418.13200000000001</v>
      </c>
      <c r="I36" s="47">
        <v>11000</v>
      </c>
      <c r="J36" s="48">
        <v>0.7</v>
      </c>
      <c r="K36" s="28">
        <f>J36*I36*H36*G36</f>
        <v>3219616.3999999994</v>
      </c>
      <c r="L36" s="302"/>
      <c r="M36" s="302"/>
      <c r="N36" s="302"/>
      <c r="O36" s="148"/>
    </row>
    <row r="37" spans="1:16" ht="19.5" customHeight="1" x14ac:dyDescent="0.25">
      <c r="B37" s="43"/>
      <c r="C37" s="69" t="s">
        <v>76</v>
      </c>
      <c r="D37" s="43" t="s">
        <v>12</v>
      </c>
      <c r="E37" s="43"/>
      <c r="F37" s="43"/>
      <c r="G37" s="45">
        <v>1</v>
      </c>
      <c r="H37" s="46"/>
      <c r="I37" s="47">
        <v>337300</v>
      </c>
      <c r="J37" s="48">
        <v>0.7</v>
      </c>
      <c r="K37" s="28">
        <f>J37*I37*G37</f>
        <v>236109.99999999997</v>
      </c>
      <c r="L37" s="302"/>
      <c r="M37" s="302"/>
      <c r="N37" s="302"/>
      <c r="O37" s="148"/>
    </row>
    <row r="38" spans="1:16" customFormat="1" ht="19.5" customHeight="1" x14ac:dyDescent="0.25">
      <c r="A38" s="122"/>
      <c r="B38" s="43"/>
      <c r="C38" s="50" t="s">
        <v>77</v>
      </c>
      <c r="D38" s="70" t="s">
        <v>12</v>
      </c>
      <c r="E38" s="70"/>
      <c r="F38" s="70"/>
      <c r="G38" s="71">
        <v>1</v>
      </c>
      <c r="H38" s="72"/>
      <c r="I38" s="73">
        <v>102700</v>
      </c>
      <c r="J38" s="74">
        <v>0.7</v>
      </c>
      <c r="K38" s="75">
        <f>J38*I38*G38</f>
        <v>71890</v>
      </c>
      <c r="L38" s="305"/>
      <c r="M38" s="305"/>
      <c r="N38" s="305"/>
      <c r="O38" s="151"/>
      <c r="P38" s="122"/>
    </row>
    <row r="39" spans="1:16" ht="21" customHeight="1" x14ac:dyDescent="0.25">
      <c r="B39" s="43"/>
      <c r="C39" s="69" t="s">
        <v>78</v>
      </c>
      <c r="D39" s="51" t="s">
        <v>49</v>
      </c>
      <c r="E39" s="43"/>
      <c r="F39" s="43"/>
      <c r="G39" s="45">
        <v>10</v>
      </c>
      <c r="H39" s="46">
        <v>10.331</v>
      </c>
      <c r="I39" s="47">
        <v>6200</v>
      </c>
      <c r="J39" s="48">
        <v>0.7</v>
      </c>
      <c r="K39" s="28">
        <f>J39*I39*H39*G39</f>
        <v>448365.4</v>
      </c>
      <c r="L39" s="302"/>
      <c r="M39" s="302"/>
      <c r="N39" s="302"/>
      <c r="O39" s="148"/>
    </row>
    <row r="40" spans="1:16" ht="33.75" customHeight="1" x14ac:dyDescent="0.25">
      <c r="B40" s="43"/>
      <c r="C40" s="69" t="s">
        <v>147</v>
      </c>
      <c r="D40" s="43" t="s">
        <v>12</v>
      </c>
      <c r="E40" s="43"/>
      <c r="F40" s="43"/>
      <c r="G40" s="45">
        <v>1</v>
      </c>
      <c r="H40" s="46"/>
      <c r="I40" s="47">
        <v>50000</v>
      </c>
      <c r="J40" s="48">
        <v>0.7</v>
      </c>
      <c r="K40" s="28">
        <f>I40*G40*J40</f>
        <v>35000</v>
      </c>
      <c r="L40" s="302"/>
      <c r="M40" s="302"/>
      <c r="N40" s="302"/>
      <c r="O40" s="148"/>
    </row>
    <row r="41" spans="1:16" ht="19.5" customHeight="1" x14ac:dyDescent="0.25">
      <c r="B41" s="43"/>
      <c r="C41" s="69" t="s">
        <v>79</v>
      </c>
      <c r="D41" s="43" t="s">
        <v>12</v>
      </c>
      <c r="E41" s="43"/>
      <c r="F41" s="43"/>
      <c r="G41" s="45">
        <v>1</v>
      </c>
      <c r="H41" s="46"/>
      <c r="I41" s="47">
        <v>152100</v>
      </c>
      <c r="J41" s="48">
        <v>0.7</v>
      </c>
      <c r="K41" s="28">
        <f>I41*G41*J41</f>
        <v>106470</v>
      </c>
      <c r="L41" s="302"/>
      <c r="M41" s="302"/>
      <c r="N41" s="302"/>
      <c r="O41" s="148"/>
    </row>
    <row r="42" spans="1:16" ht="19.5" customHeight="1" x14ac:dyDescent="0.25">
      <c r="B42" s="43"/>
      <c r="C42" s="69" t="s">
        <v>117</v>
      </c>
      <c r="D42" s="51" t="s">
        <v>49</v>
      </c>
      <c r="E42" s="43"/>
      <c r="F42" s="43"/>
      <c r="G42" s="45">
        <v>2</v>
      </c>
      <c r="H42" s="46">
        <v>1.7869999999999999</v>
      </c>
      <c r="I42" s="47">
        <v>19200</v>
      </c>
      <c r="J42" s="48">
        <v>0.7</v>
      </c>
      <c r="K42" s="28">
        <f>J42*I42*H42*G42</f>
        <v>48034.559999999998</v>
      </c>
      <c r="L42" s="302"/>
      <c r="M42" s="302"/>
      <c r="N42" s="302"/>
      <c r="O42" s="148"/>
    </row>
    <row r="43" spans="1:16" ht="69" customHeight="1" x14ac:dyDescent="0.25">
      <c r="B43" s="76" t="s">
        <v>9</v>
      </c>
      <c r="C43" s="30" t="s">
        <v>13</v>
      </c>
      <c r="D43" s="77"/>
      <c r="E43" s="77"/>
      <c r="F43" s="77"/>
      <c r="G43" s="31"/>
      <c r="H43" s="32"/>
      <c r="I43" s="49"/>
      <c r="J43" s="78"/>
      <c r="K43" s="35"/>
      <c r="L43" s="300"/>
      <c r="M43" s="300"/>
      <c r="N43" s="300"/>
      <c r="O43" s="146"/>
    </row>
    <row r="44" spans="1:16" s="4" customFormat="1" ht="33.75" customHeight="1" x14ac:dyDescent="0.25">
      <c r="A44" s="123"/>
      <c r="B44" s="29" t="s">
        <v>197</v>
      </c>
      <c r="C44" s="30" t="s">
        <v>262</v>
      </c>
      <c r="D44" s="29"/>
      <c r="E44" s="29"/>
      <c r="F44" s="29"/>
      <c r="G44" s="31"/>
      <c r="H44" s="32"/>
      <c r="I44" s="49"/>
      <c r="J44" s="78"/>
      <c r="K44" s="35"/>
      <c r="L44" s="300"/>
      <c r="M44" s="300"/>
      <c r="N44" s="300"/>
      <c r="O44" s="146"/>
      <c r="P44" s="123"/>
    </row>
    <row r="45" spans="1:16" ht="30" customHeight="1" x14ac:dyDescent="0.25">
      <c r="A45" s="5">
        <v>2</v>
      </c>
      <c r="B45" s="168">
        <v>2</v>
      </c>
      <c r="C45" s="169" t="s">
        <v>40</v>
      </c>
      <c r="D45" s="170"/>
      <c r="E45" s="170"/>
      <c r="F45" s="170"/>
      <c r="G45" s="171"/>
      <c r="H45" s="172"/>
      <c r="I45" s="173"/>
      <c r="J45" s="25"/>
      <c r="K45" s="26">
        <f>SUBTOTAL(9,K47,K50,K66,K87,K88)</f>
        <v>571433082</v>
      </c>
      <c r="L45" s="299"/>
      <c r="M45" s="299"/>
      <c r="N45" s="299"/>
      <c r="O45" s="145">
        <v>560729125.17999995</v>
      </c>
      <c r="P45" s="167">
        <f>K45-O45</f>
        <v>10703956.820000052</v>
      </c>
    </row>
    <row r="46" spans="1:16" ht="24.75" customHeight="1" x14ac:dyDescent="0.25">
      <c r="B46" s="168"/>
      <c r="C46" s="174" t="s">
        <v>199</v>
      </c>
      <c r="D46" s="175"/>
      <c r="E46" s="175"/>
      <c r="F46" s="175"/>
      <c r="G46" s="176"/>
      <c r="H46" s="177"/>
      <c r="I46" s="178"/>
      <c r="J46" s="25"/>
      <c r="K46" s="26"/>
      <c r="L46" s="299"/>
      <c r="M46" s="299"/>
      <c r="N46" s="299"/>
      <c r="O46" s="145"/>
    </row>
    <row r="47" spans="1:16" ht="116.25" customHeight="1" x14ac:dyDescent="0.25">
      <c r="B47" s="29" t="s">
        <v>6</v>
      </c>
      <c r="C47" s="69" t="s">
        <v>219</v>
      </c>
      <c r="D47" s="29"/>
      <c r="E47" s="29"/>
      <c r="F47" s="29"/>
      <c r="G47" s="31">
        <f>SUM(G48:G48)</f>
        <v>386.5</v>
      </c>
      <c r="H47" s="32"/>
      <c r="I47" s="33"/>
      <c r="J47" s="34"/>
      <c r="K47" s="35">
        <f>SUM(K48:K48)</f>
        <v>51404500</v>
      </c>
      <c r="L47" s="300"/>
      <c r="M47" s="300"/>
      <c r="N47" s="300"/>
      <c r="O47" s="146"/>
    </row>
    <row r="48" spans="1:16" customFormat="1" ht="116.25" customHeight="1" x14ac:dyDescent="0.25">
      <c r="A48" s="122"/>
      <c r="B48" s="70"/>
      <c r="C48" s="50" t="s">
        <v>274</v>
      </c>
      <c r="D48" s="70" t="s">
        <v>11</v>
      </c>
      <c r="E48" s="70">
        <v>1</v>
      </c>
      <c r="F48" s="70">
        <v>127</v>
      </c>
      <c r="G48" s="79">
        <v>386.5</v>
      </c>
      <c r="H48" s="72"/>
      <c r="I48" s="73">
        <v>133000</v>
      </c>
      <c r="J48" s="74"/>
      <c r="K48" s="75">
        <f t="shared" ref="K48" si="5">I48*G48</f>
        <v>51404500</v>
      </c>
      <c r="L48" s="305"/>
      <c r="M48" s="305"/>
      <c r="N48" s="305"/>
      <c r="O48" s="151"/>
      <c r="P48" s="122"/>
    </row>
    <row r="49" spans="1:16" ht="121.5" customHeight="1" x14ac:dyDescent="0.25">
      <c r="B49" s="43"/>
      <c r="C49" s="44" t="s">
        <v>200</v>
      </c>
      <c r="D49" s="117"/>
      <c r="E49" s="117"/>
      <c r="F49" s="117"/>
      <c r="G49" s="117"/>
      <c r="H49" s="117"/>
      <c r="I49" s="117"/>
      <c r="J49" s="117"/>
      <c r="K49" s="116"/>
      <c r="L49" s="306"/>
      <c r="M49" s="306"/>
      <c r="N49" s="306"/>
      <c r="O49" s="152"/>
    </row>
    <row r="50" spans="1:16" s="14" customFormat="1" ht="39.75" customHeight="1" x14ac:dyDescent="0.25">
      <c r="A50" s="124"/>
      <c r="B50" s="80" t="s">
        <v>7</v>
      </c>
      <c r="C50" s="81" t="s">
        <v>14</v>
      </c>
      <c r="D50" s="80"/>
      <c r="E50" s="80"/>
      <c r="F50" s="80"/>
      <c r="G50" s="82"/>
      <c r="H50" s="83"/>
      <c r="I50" s="84"/>
      <c r="J50" s="85"/>
      <c r="K50" s="86">
        <f>SUM(K51:K65)</f>
        <v>496175137</v>
      </c>
      <c r="L50" s="307"/>
      <c r="M50" s="307"/>
      <c r="N50" s="307"/>
      <c r="O50" s="153"/>
      <c r="P50" s="124"/>
    </row>
    <row r="51" spans="1:16" ht="111.75" customHeight="1" x14ac:dyDescent="0.25">
      <c r="B51" s="87" t="s">
        <v>223</v>
      </c>
      <c r="C51" s="88" t="s">
        <v>132</v>
      </c>
      <c r="D51" s="70" t="s">
        <v>11</v>
      </c>
      <c r="E51" s="87">
        <v>1</v>
      </c>
      <c r="F51" s="87">
        <v>101</v>
      </c>
      <c r="G51" s="89">
        <f>11.8*8.4</f>
        <v>99.12</v>
      </c>
      <c r="H51" s="90"/>
      <c r="I51" s="91">
        <v>4933400</v>
      </c>
      <c r="J51" s="92"/>
      <c r="K51" s="93">
        <f>ROUND(G51*I51,0)</f>
        <v>488998608</v>
      </c>
      <c r="L51" s="308"/>
      <c r="M51" s="308"/>
      <c r="N51" s="308"/>
      <c r="O51" s="154"/>
    </row>
    <row r="52" spans="1:16" s="10" customFormat="1" ht="30" customHeight="1" x14ac:dyDescent="0.25">
      <c r="A52" s="125"/>
      <c r="B52" s="94" t="s">
        <v>222</v>
      </c>
      <c r="C52" s="95" t="s">
        <v>133</v>
      </c>
      <c r="D52" s="70" t="s">
        <v>11</v>
      </c>
      <c r="E52" s="94"/>
      <c r="F52" s="94"/>
      <c r="G52" s="96">
        <f>11.8*8.4</f>
        <v>99.12</v>
      </c>
      <c r="H52" s="97"/>
      <c r="I52" s="98">
        <v>-85800</v>
      </c>
      <c r="J52" s="99"/>
      <c r="K52" s="93">
        <f t="shared" ref="K52:K65" si="6">ROUND(G52*I52,0)</f>
        <v>-8504496</v>
      </c>
      <c r="L52" s="308"/>
      <c r="M52" s="308"/>
      <c r="N52" s="308"/>
      <c r="O52" s="154"/>
      <c r="P52" s="125"/>
    </row>
    <row r="53" spans="1:16" s="10" customFormat="1" ht="30" customHeight="1" x14ac:dyDescent="0.25">
      <c r="A53" s="125"/>
      <c r="B53" s="94" t="s">
        <v>222</v>
      </c>
      <c r="C53" s="95" t="s">
        <v>80</v>
      </c>
      <c r="D53" s="70" t="s">
        <v>11</v>
      </c>
      <c r="E53" s="94"/>
      <c r="F53" s="94"/>
      <c r="G53" s="96">
        <f>11.8*8.4*2</f>
        <v>198.24</v>
      </c>
      <c r="H53" s="97"/>
      <c r="I53" s="98">
        <v>-224200</v>
      </c>
      <c r="J53" s="99"/>
      <c r="K53" s="93">
        <f t="shared" si="6"/>
        <v>-44445408</v>
      </c>
      <c r="L53" s="308"/>
      <c r="M53" s="308"/>
      <c r="N53" s="308"/>
      <c r="O53" s="154"/>
      <c r="P53" s="125"/>
    </row>
    <row r="54" spans="1:16" s="10" customFormat="1" ht="30" customHeight="1" x14ac:dyDescent="0.25">
      <c r="A54" s="125"/>
      <c r="B54" s="94" t="s">
        <v>222</v>
      </c>
      <c r="C54" s="95" t="s">
        <v>141</v>
      </c>
      <c r="D54" s="70" t="s">
        <v>11</v>
      </c>
      <c r="E54" s="94"/>
      <c r="F54" s="94"/>
      <c r="G54" s="100">
        <f>1.5*11</f>
        <v>16.5</v>
      </c>
      <c r="H54" s="97"/>
      <c r="I54" s="98">
        <v>-268900</v>
      </c>
      <c r="J54" s="99"/>
      <c r="K54" s="93">
        <f t="shared" si="6"/>
        <v>-4436850</v>
      </c>
      <c r="L54" s="308"/>
      <c r="M54" s="308"/>
      <c r="N54" s="308"/>
      <c r="O54" s="154"/>
      <c r="P54" s="125"/>
    </row>
    <row r="55" spans="1:16" s="10" customFormat="1" ht="27.75" customHeight="1" x14ac:dyDescent="0.25">
      <c r="A55" s="125"/>
      <c r="B55" s="94" t="s">
        <v>222</v>
      </c>
      <c r="C55" s="95" t="s">
        <v>81</v>
      </c>
      <c r="D55" s="70" t="s">
        <v>11</v>
      </c>
      <c r="E55" s="94"/>
      <c r="F55" s="94"/>
      <c r="G55" s="96">
        <f>11.8*8.4</f>
        <v>99.12</v>
      </c>
      <c r="H55" s="97"/>
      <c r="I55" s="98">
        <v>-41700</v>
      </c>
      <c r="J55" s="99"/>
      <c r="K55" s="93">
        <f t="shared" si="6"/>
        <v>-4133304</v>
      </c>
      <c r="L55" s="308"/>
      <c r="M55" s="308"/>
      <c r="N55" s="308"/>
      <c r="O55" s="154"/>
      <c r="P55" s="125"/>
    </row>
    <row r="56" spans="1:16" s="10" customFormat="1" ht="27.75" customHeight="1" x14ac:dyDescent="0.25">
      <c r="A56" s="125"/>
      <c r="B56" s="94" t="s">
        <v>222</v>
      </c>
      <c r="C56" s="95" t="s">
        <v>82</v>
      </c>
      <c r="D56" s="70" t="s">
        <v>11</v>
      </c>
      <c r="E56" s="94"/>
      <c r="F56" s="94"/>
      <c r="G56" s="96">
        <f>11.8*8.4</f>
        <v>99.12</v>
      </c>
      <c r="H56" s="97"/>
      <c r="I56" s="98">
        <v>-52400</v>
      </c>
      <c r="J56" s="99"/>
      <c r="K56" s="93">
        <f t="shared" si="6"/>
        <v>-5193888</v>
      </c>
      <c r="L56" s="308"/>
      <c r="M56" s="308"/>
      <c r="N56" s="308"/>
      <c r="O56" s="154"/>
      <c r="P56" s="125"/>
    </row>
    <row r="57" spans="1:16" ht="42.75" customHeight="1" x14ac:dyDescent="0.25">
      <c r="B57" s="43" t="s">
        <v>223</v>
      </c>
      <c r="C57" s="69" t="s">
        <v>165</v>
      </c>
      <c r="D57" s="51" t="s">
        <v>41</v>
      </c>
      <c r="E57" s="43"/>
      <c r="F57" s="43"/>
      <c r="G57" s="45">
        <f>8.6*2+2.9*2</f>
        <v>23</v>
      </c>
      <c r="H57" s="46"/>
      <c r="I57" s="47">
        <f>1147000</f>
        <v>1147000</v>
      </c>
      <c r="J57" s="48"/>
      <c r="K57" s="93">
        <f t="shared" si="6"/>
        <v>26381000</v>
      </c>
      <c r="L57" s="308"/>
      <c r="M57" s="308"/>
      <c r="N57" s="308"/>
      <c r="O57" s="154"/>
    </row>
    <row r="58" spans="1:16" ht="42.75" customHeight="1" x14ac:dyDescent="0.25">
      <c r="B58" s="43" t="s">
        <v>223</v>
      </c>
      <c r="C58" s="69" t="s">
        <v>144</v>
      </c>
      <c r="D58" s="51" t="s">
        <v>41</v>
      </c>
      <c r="E58" s="43"/>
      <c r="F58" s="43"/>
      <c r="G58" s="45">
        <v>6</v>
      </c>
      <c r="H58" s="46"/>
      <c r="I58" s="47">
        <v>815000</v>
      </c>
      <c r="J58" s="48"/>
      <c r="K58" s="93">
        <f t="shared" si="6"/>
        <v>4890000</v>
      </c>
      <c r="L58" s="308"/>
      <c r="M58" s="308"/>
      <c r="N58" s="308"/>
      <c r="O58" s="154"/>
    </row>
    <row r="59" spans="1:16" ht="31.5" customHeight="1" x14ac:dyDescent="0.25">
      <c r="B59" s="43" t="s">
        <v>223</v>
      </c>
      <c r="C59" s="69" t="s">
        <v>146</v>
      </c>
      <c r="D59" s="51" t="s">
        <v>41</v>
      </c>
      <c r="E59" s="43"/>
      <c r="F59" s="43"/>
      <c r="G59" s="45">
        <v>8.6</v>
      </c>
      <c r="H59" s="46"/>
      <c r="I59" s="47">
        <v>815000</v>
      </c>
      <c r="J59" s="48"/>
      <c r="K59" s="93">
        <f t="shared" si="6"/>
        <v>7009000</v>
      </c>
      <c r="L59" s="308"/>
      <c r="M59" s="308"/>
      <c r="N59" s="308"/>
      <c r="O59" s="154"/>
    </row>
    <row r="60" spans="1:16" ht="31.5" customHeight="1" x14ac:dyDescent="0.25">
      <c r="B60" s="43" t="s">
        <v>223</v>
      </c>
      <c r="C60" s="69" t="s">
        <v>145</v>
      </c>
      <c r="D60" s="51" t="s">
        <v>41</v>
      </c>
      <c r="E60" s="43"/>
      <c r="F60" s="43"/>
      <c r="G60" s="45">
        <v>6</v>
      </c>
      <c r="H60" s="46"/>
      <c r="I60" s="47">
        <v>815000</v>
      </c>
      <c r="J60" s="48"/>
      <c r="K60" s="93">
        <f t="shared" si="6"/>
        <v>4890000</v>
      </c>
      <c r="L60" s="308"/>
      <c r="M60" s="308"/>
      <c r="N60" s="308"/>
      <c r="O60" s="154"/>
    </row>
    <row r="61" spans="1:16" ht="31.5" customHeight="1" x14ac:dyDescent="0.25">
      <c r="B61" s="43" t="s">
        <v>223</v>
      </c>
      <c r="C61" s="69" t="s">
        <v>83</v>
      </c>
      <c r="D61" s="51" t="s">
        <v>41</v>
      </c>
      <c r="E61" s="43"/>
      <c r="F61" s="43"/>
      <c r="G61" s="45">
        <v>13</v>
      </c>
      <c r="H61" s="46"/>
      <c r="I61" s="47">
        <v>114600</v>
      </c>
      <c r="J61" s="48"/>
      <c r="K61" s="93">
        <f t="shared" si="6"/>
        <v>1489800</v>
      </c>
      <c r="L61" s="308"/>
      <c r="M61" s="308"/>
      <c r="N61" s="308"/>
      <c r="O61" s="154"/>
    </row>
    <row r="62" spans="1:16" ht="48" customHeight="1" x14ac:dyDescent="0.25">
      <c r="B62" s="43" t="s">
        <v>223</v>
      </c>
      <c r="C62" s="69" t="s">
        <v>84</v>
      </c>
      <c r="D62" s="51" t="s">
        <v>11</v>
      </c>
      <c r="E62" s="43"/>
      <c r="F62" s="43"/>
      <c r="G62" s="45">
        <f>4.5*3.5</f>
        <v>15.75</v>
      </c>
      <c r="H62" s="46"/>
      <c r="I62" s="47">
        <f>613300</f>
        <v>613300</v>
      </c>
      <c r="J62" s="48"/>
      <c r="K62" s="93">
        <f t="shared" si="6"/>
        <v>9659475</v>
      </c>
      <c r="L62" s="308"/>
      <c r="M62" s="308"/>
      <c r="N62" s="308"/>
      <c r="O62" s="154"/>
    </row>
    <row r="63" spans="1:16" ht="28.5" customHeight="1" x14ac:dyDescent="0.25">
      <c r="B63" s="43" t="s">
        <v>223</v>
      </c>
      <c r="C63" s="69" t="s">
        <v>85</v>
      </c>
      <c r="D63" s="51" t="s">
        <v>11</v>
      </c>
      <c r="E63" s="43"/>
      <c r="F63" s="43"/>
      <c r="G63" s="45">
        <f>4.8*4.4</f>
        <v>21.12</v>
      </c>
      <c r="H63" s="46"/>
      <c r="I63" s="47">
        <v>129000</v>
      </c>
      <c r="J63" s="48"/>
      <c r="K63" s="93">
        <f t="shared" si="6"/>
        <v>2724480</v>
      </c>
      <c r="L63" s="308"/>
      <c r="M63" s="308"/>
      <c r="N63" s="308"/>
      <c r="O63" s="154"/>
    </row>
    <row r="64" spans="1:16" ht="49.5" customHeight="1" x14ac:dyDescent="0.25">
      <c r="B64" s="43" t="s">
        <v>223</v>
      </c>
      <c r="C64" s="69" t="s">
        <v>162</v>
      </c>
      <c r="D64" s="51" t="s">
        <v>11</v>
      </c>
      <c r="E64" s="43"/>
      <c r="F64" s="43"/>
      <c r="G64" s="45">
        <f>3.5*6</f>
        <v>21</v>
      </c>
      <c r="H64" s="46"/>
      <c r="I64" s="47">
        <f>743600</f>
        <v>743600</v>
      </c>
      <c r="J64" s="48"/>
      <c r="K64" s="93">
        <f t="shared" si="6"/>
        <v>15615600</v>
      </c>
      <c r="L64" s="308"/>
      <c r="M64" s="308"/>
      <c r="N64" s="308"/>
      <c r="O64" s="154"/>
    </row>
    <row r="65" spans="1:16" ht="37.5" customHeight="1" x14ac:dyDescent="0.25">
      <c r="B65" s="43" t="s">
        <v>223</v>
      </c>
      <c r="C65" s="69" t="s">
        <v>86</v>
      </c>
      <c r="D65" s="51" t="s">
        <v>11</v>
      </c>
      <c r="E65" s="43"/>
      <c r="F65" s="43"/>
      <c r="G65" s="45">
        <f>2.2*2</f>
        <v>4.4000000000000004</v>
      </c>
      <c r="H65" s="46"/>
      <c r="I65" s="47">
        <v>279800</v>
      </c>
      <c r="J65" s="48"/>
      <c r="K65" s="93">
        <f t="shared" si="6"/>
        <v>1231120</v>
      </c>
      <c r="L65" s="308"/>
      <c r="M65" s="308"/>
      <c r="N65" s="308"/>
      <c r="O65" s="154"/>
    </row>
    <row r="66" spans="1:16" ht="38.25" customHeight="1" x14ac:dyDescent="0.25">
      <c r="B66" s="29" t="s">
        <v>8</v>
      </c>
      <c r="C66" s="30" t="s">
        <v>10</v>
      </c>
      <c r="D66" s="29"/>
      <c r="E66" s="29"/>
      <c r="F66" s="29"/>
      <c r="G66" s="31"/>
      <c r="H66" s="32"/>
      <c r="I66" s="49"/>
      <c r="J66" s="34"/>
      <c r="K66" s="35">
        <f>SUM(K67:K86)</f>
        <v>23853445</v>
      </c>
      <c r="L66" s="300"/>
      <c r="M66" s="300"/>
      <c r="N66" s="300"/>
      <c r="O66" s="146"/>
    </row>
    <row r="67" spans="1:16" ht="22.5" customHeight="1" x14ac:dyDescent="0.25">
      <c r="B67" s="43"/>
      <c r="C67" s="69" t="s">
        <v>114</v>
      </c>
      <c r="D67" s="51" t="s">
        <v>42</v>
      </c>
      <c r="E67" s="43"/>
      <c r="F67" s="43"/>
      <c r="G67" s="45">
        <v>1</v>
      </c>
      <c r="H67" s="46">
        <f>40.255*5</f>
        <v>201.27500000000001</v>
      </c>
      <c r="I67" s="47">
        <v>10600</v>
      </c>
      <c r="J67" s="48">
        <v>0.7</v>
      </c>
      <c r="K67" s="28">
        <f>ROUND(J67*I67*H67*G67,0)</f>
        <v>1493461</v>
      </c>
      <c r="L67" s="302"/>
      <c r="M67" s="302"/>
      <c r="N67" s="302"/>
      <c r="O67" s="148"/>
    </row>
    <row r="68" spans="1:16" ht="22.5" customHeight="1" x14ac:dyDescent="0.25">
      <c r="B68" s="43"/>
      <c r="C68" s="101" t="s">
        <v>135</v>
      </c>
      <c r="D68" s="43" t="s">
        <v>12</v>
      </c>
      <c r="E68" s="43"/>
      <c r="F68" s="43"/>
      <c r="G68" s="45">
        <v>1</v>
      </c>
      <c r="H68" s="46">
        <f>5.128*5</f>
        <v>25.64</v>
      </c>
      <c r="I68" s="47">
        <v>3100</v>
      </c>
      <c r="J68" s="48">
        <v>0.7</v>
      </c>
      <c r="K68" s="28">
        <f>ROUND(J68*I68*H68*G68,0)</f>
        <v>55639</v>
      </c>
      <c r="L68" s="302"/>
      <c r="M68" s="302"/>
      <c r="N68" s="302"/>
      <c r="O68" s="148"/>
    </row>
    <row r="69" spans="1:16" ht="22.5" customHeight="1" x14ac:dyDescent="0.25">
      <c r="B69" s="43"/>
      <c r="C69" s="101" t="s">
        <v>136</v>
      </c>
      <c r="D69" s="43" t="s">
        <v>12</v>
      </c>
      <c r="E69" s="43"/>
      <c r="F69" s="43"/>
      <c r="G69" s="45">
        <v>2</v>
      </c>
      <c r="H69" s="46">
        <f>7.995*12</f>
        <v>95.94</v>
      </c>
      <c r="I69" s="47">
        <v>5800</v>
      </c>
      <c r="J69" s="48">
        <v>0.7</v>
      </c>
      <c r="K69" s="28">
        <f t="shared" ref="K69:K74" si="7">ROUND(J69*I69*H69*G69,0)</f>
        <v>779033</v>
      </c>
      <c r="L69" s="302"/>
      <c r="M69" s="302"/>
      <c r="N69" s="302"/>
      <c r="O69" s="148"/>
    </row>
    <row r="70" spans="1:16" s="12" customFormat="1" ht="22.5" customHeight="1" x14ac:dyDescent="0.25">
      <c r="A70" s="126"/>
      <c r="B70" s="43"/>
      <c r="C70" s="101" t="s">
        <v>87</v>
      </c>
      <c r="D70" s="102" t="s">
        <v>12</v>
      </c>
      <c r="E70" s="102"/>
      <c r="F70" s="102"/>
      <c r="G70" s="103">
        <v>2</v>
      </c>
      <c r="H70" s="104">
        <f>7.995*5</f>
        <v>39.975000000000001</v>
      </c>
      <c r="I70" s="105">
        <v>5800</v>
      </c>
      <c r="J70" s="106">
        <v>0.7</v>
      </c>
      <c r="K70" s="28">
        <f t="shared" si="7"/>
        <v>324597</v>
      </c>
      <c r="L70" s="302"/>
      <c r="M70" s="302"/>
      <c r="N70" s="302"/>
      <c r="O70" s="148"/>
      <c r="P70" s="126"/>
    </row>
    <row r="71" spans="1:16" s="12" customFormat="1" ht="22.5" customHeight="1" x14ac:dyDescent="0.25">
      <c r="A71" s="126"/>
      <c r="B71" s="43"/>
      <c r="C71" s="101" t="s">
        <v>88</v>
      </c>
      <c r="D71" s="102" t="s">
        <v>12</v>
      </c>
      <c r="E71" s="102"/>
      <c r="F71" s="102"/>
      <c r="G71" s="103">
        <v>1</v>
      </c>
      <c r="H71" s="104">
        <f>7.995*10</f>
        <v>79.95</v>
      </c>
      <c r="I71" s="105">
        <v>5800</v>
      </c>
      <c r="J71" s="106">
        <v>0.7</v>
      </c>
      <c r="K71" s="28">
        <f t="shared" si="7"/>
        <v>324597</v>
      </c>
      <c r="L71" s="302"/>
      <c r="M71" s="302"/>
      <c r="N71" s="302"/>
      <c r="O71" s="148"/>
      <c r="P71" s="126"/>
    </row>
    <row r="72" spans="1:16" ht="22.5" customHeight="1" x14ac:dyDescent="0.25">
      <c r="B72" s="43"/>
      <c r="C72" s="108" t="s">
        <v>134</v>
      </c>
      <c r="D72" s="43" t="s">
        <v>73</v>
      </c>
      <c r="E72" s="43"/>
      <c r="F72" s="43"/>
      <c r="G72" s="45">
        <v>7</v>
      </c>
      <c r="H72" s="46">
        <v>10.298999999999999</v>
      </c>
      <c r="I72" s="47">
        <v>6200</v>
      </c>
      <c r="J72" s="48">
        <v>0.7</v>
      </c>
      <c r="K72" s="28">
        <f t="shared" si="7"/>
        <v>312884</v>
      </c>
      <c r="L72" s="302"/>
      <c r="M72" s="302"/>
      <c r="N72" s="302"/>
      <c r="O72" s="148"/>
    </row>
    <row r="73" spans="1:16" s="12" customFormat="1" ht="22.5" customHeight="1" x14ac:dyDescent="0.25">
      <c r="A73" s="126"/>
      <c r="B73" s="43"/>
      <c r="C73" s="101" t="s">
        <v>89</v>
      </c>
      <c r="D73" s="102" t="s">
        <v>12</v>
      </c>
      <c r="E73" s="102"/>
      <c r="F73" s="102"/>
      <c r="G73" s="103">
        <v>2</v>
      </c>
      <c r="H73" s="104">
        <f>13.758*27</f>
        <v>371.46599999999995</v>
      </c>
      <c r="I73" s="105">
        <v>7300</v>
      </c>
      <c r="J73" s="106">
        <v>0.7</v>
      </c>
      <c r="K73" s="28">
        <f t="shared" si="7"/>
        <v>3796383</v>
      </c>
      <c r="L73" s="302"/>
      <c r="M73" s="302"/>
      <c r="N73" s="302"/>
      <c r="O73" s="148"/>
      <c r="P73" s="126"/>
    </row>
    <row r="74" spans="1:16" s="12" customFormat="1" ht="22.5" customHeight="1" x14ac:dyDescent="0.25">
      <c r="A74" s="126"/>
      <c r="B74" s="43"/>
      <c r="C74" s="101" t="s">
        <v>90</v>
      </c>
      <c r="D74" s="102" t="s">
        <v>12</v>
      </c>
      <c r="E74" s="102"/>
      <c r="F74" s="102"/>
      <c r="G74" s="103">
        <v>1</v>
      </c>
      <c r="H74" s="104">
        <f>13.758*30</f>
        <v>412.73999999999995</v>
      </c>
      <c r="I74" s="105">
        <v>7300</v>
      </c>
      <c r="J74" s="106">
        <v>0.7</v>
      </c>
      <c r="K74" s="28">
        <f t="shared" si="7"/>
        <v>2109101</v>
      </c>
      <c r="L74" s="302"/>
      <c r="M74" s="302"/>
      <c r="N74" s="302"/>
      <c r="O74" s="148"/>
      <c r="P74" s="126"/>
    </row>
    <row r="75" spans="1:16" ht="24.75" customHeight="1" x14ac:dyDescent="0.25">
      <c r="B75" s="43"/>
      <c r="C75" s="69" t="s">
        <v>138</v>
      </c>
      <c r="D75" s="43" t="s">
        <v>12</v>
      </c>
      <c r="E75" s="43"/>
      <c r="F75" s="43"/>
      <c r="G75" s="45">
        <v>2</v>
      </c>
      <c r="H75" s="46"/>
      <c r="I75" s="47">
        <v>102700</v>
      </c>
      <c r="J75" s="48">
        <v>0.7</v>
      </c>
      <c r="K75" s="28">
        <f>ROUND(J75*I75*G75,0)</f>
        <v>143780</v>
      </c>
      <c r="L75" s="302"/>
      <c r="M75" s="302"/>
      <c r="N75" s="302"/>
      <c r="O75" s="148"/>
    </row>
    <row r="76" spans="1:16" ht="15.75" x14ac:dyDescent="0.25">
      <c r="B76" s="43"/>
      <c r="C76" s="69" t="s">
        <v>118</v>
      </c>
      <c r="D76" s="43" t="s">
        <v>91</v>
      </c>
      <c r="E76" s="43"/>
      <c r="F76" s="43"/>
      <c r="G76" s="45">
        <v>1</v>
      </c>
      <c r="H76" s="46">
        <v>1.7869999999999999</v>
      </c>
      <c r="I76" s="47">
        <v>19200</v>
      </c>
      <c r="J76" s="48">
        <v>0.7</v>
      </c>
      <c r="K76" s="28">
        <f>ROUND(J76*I76*H76*G76,0)</f>
        <v>24017</v>
      </c>
      <c r="L76" s="302"/>
      <c r="M76" s="302"/>
      <c r="N76" s="302"/>
      <c r="O76" s="148"/>
    </row>
    <row r="77" spans="1:16" ht="19.5" customHeight="1" x14ac:dyDescent="0.25">
      <c r="B77" s="43"/>
      <c r="C77" s="69" t="s">
        <v>137</v>
      </c>
      <c r="D77" s="43" t="s">
        <v>12</v>
      </c>
      <c r="E77" s="43"/>
      <c r="F77" s="43"/>
      <c r="G77" s="45">
        <v>5</v>
      </c>
      <c r="H77" s="46">
        <f>19.006*19</f>
        <v>361.11400000000003</v>
      </c>
      <c r="I77" s="47">
        <v>11000</v>
      </c>
      <c r="J77" s="48">
        <v>0.7</v>
      </c>
      <c r="K77" s="28">
        <f>ROUND(J77*I77*H77*G77,0)</f>
        <v>13902889</v>
      </c>
      <c r="L77" s="302"/>
      <c r="M77" s="302"/>
      <c r="N77" s="302"/>
      <c r="O77" s="148"/>
    </row>
    <row r="78" spans="1:16" s="12" customFormat="1" ht="19.5" customHeight="1" x14ac:dyDescent="0.25">
      <c r="A78" s="126"/>
      <c r="B78" s="43"/>
      <c r="C78" s="101" t="s">
        <v>92</v>
      </c>
      <c r="D78" s="109" t="s">
        <v>12</v>
      </c>
      <c r="E78" s="102"/>
      <c r="F78" s="102"/>
      <c r="G78" s="103">
        <v>2</v>
      </c>
      <c r="H78" s="104"/>
      <c r="I78" s="105">
        <v>54000</v>
      </c>
      <c r="J78" s="106">
        <v>0.7</v>
      </c>
      <c r="K78" s="107">
        <f>ROUND(G78*I78*J78,0)</f>
        <v>75600</v>
      </c>
      <c r="L78" s="309"/>
      <c r="M78" s="309"/>
      <c r="N78" s="309"/>
      <c r="O78" s="155"/>
      <c r="P78" s="126"/>
    </row>
    <row r="79" spans="1:16" s="12" customFormat="1" ht="19.5" customHeight="1" x14ac:dyDescent="0.25">
      <c r="A79" s="126"/>
      <c r="B79" s="43"/>
      <c r="C79" s="101" t="s">
        <v>93</v>
      </c>
      <c r="D79" s="109" t="s">
        <v>91</v>
      </c>
      <c r="E79" s="102"/>
      <c r="F79" s="102"/>
      <c r="G79" s="103">
        <v>1</v>
      </c>
      <c r="H79" s="104"/>
      <c r="I79" s="105">
        <v>273800</v>
      </c>
      <c r="J79" s="106">
        <v>0.7</v>
      </c>
      <c r="K79" s="107">
        <f>ROUND(G79*I79*J79,0)</f>
        <v>191660</v>
      </c>
      <c r="L79" s="309"/>
      <c r="M79" s="309"/>
      <c r="N79" s="309"/>
      <c r="O79" s="155"/>
      <c r="P79" s="126"/>
    </row>
    <row r="80" spans="1:16" s="12" customFormat="1" ht="19.5" customHeight="1" x14ac:dyDescent="0.25">
      <c r="A80" s="126"/>
      <c r="B80" s="43"/>
      <c r="C80" s="101" t="s">
        <v>119</v>
      </c>
      <c r="D80" s="109" t="s">
        <v>91</v>
      </c>
      <c r="E80" s="102"/>
      <c r="F80" s="102"/>
      <c r="G80" s="103">
        <v>1</v>
      </c>
      <c r="H80" s="104">
        <v>11.016999999999999</v>
      </c>
      <c r="I80" s="105">
        <v>6600</v>
      </c>
      <c r="J80" s="106">
        <v>0.7</v>
      </c>
      <c r="K80" s="107">
        <f>ROUND(J80*I80*H80*G80,0)</f>
        <v>50899</v>
      </c>
      <c r="L80" s="309"/>
      <c r="M80" s="309"/>
      <c r="N80" s="309"/>
      <c r="O80" s="155"/>
      <c r="P80" s="126"/>
    </row>
    <row r="81" spans="1:16" s="12" customFormat="1" ht="19.5" customHeight="1" x14ac:dyDescent="0.25">
      <c r="A81" s="126"/>
      <c r="B81" s="43"/>
      <c r="C81" s="101" t="s">
        <v>120</v>
      </c>
      <c r="D81" s="109" t="s">
        <v>91</v>
      </c>
      <c r="E81" s="102"/>
      <c r="F81" s="102"/>
      <c r="G81" s="103">
        <v>1</v>
      </c>
      <c r="H81" s="104">
        <v>1.363</v>
      </c>
      <c r="I81" s="105">
        <v>19200</v>
      </c>
      <c r="J81" s="106">
        <v>0.7</v>
      </c>
      <c r="K81" s="107">
        <f t="shared" ref="K81:K85" si="8">ROUND(J81*I81*H81*G81,0)</f>
        <v>18319</v>
      </c>
      <c r="L81" s="309"/>
      <c r="M81" s="309"/>
      <c r="N81" s="309"/>
      <c r="O81" s="155"/>
      <c r="P81" s="126"/>
    </row>
    <row r="82" spans="1:16" s="12" customFormat="1" ht="19.5" customHeight="1" x14ac:dyDescent="0.25">
      <c r="A82" s="126"/>
      <c r="B82" s="43"/>
      <c r="C82" s="101" t="s">
        <v>124</v>
      </c>
      <c r="D82" s="109" t="s">
        <v>91</v>
      </c>
      <c r="E82" s="102"/>
      <c r="F82" s="102"/>
      <c r="G82" s="103">
        <v>5</v>
      </c>
      <c r="H82" s="104">
        <v>1.712</v>
      </c>
      <c r="I82" s="105">
        <v>3500</v>
      </c>
      <c r="J82" s="106">
        <v>0.7</v>
      </c>
      <c r="K82" s="107">
        <f t="shared" si="8"/>
        <v>20972</v>
      </c>
      <c r="L82" s="309"/>
      <c r="M82" s="309"/>
      <c r="N82" s="309"/>
      <c r="O82" s="155"/>
      <c r="P82" s="126"/>
    </row>
    <row r="83" spans="1:16" s="13" customFormat="1" ht="24" customHeight="1" x14ac:dyDescent="0.25">
      <c r="A83" s="119"/>
      <c r="B83" s="70"/>
      <c r="C83" s="37" t="s">
        <v>121</v>
      </c>
      <c r="D83" s="36" t="s">
        <v>12</v>
      </c>
      <c r="E83" s="36"/>
      <c r="F83" s="36"/>
      <c r="G83" s="38">
        <v>1</v>
      </c>
      <c r="H83" s="39"/>
      <c r="I83" s="40">
        <v>125000</v>
      </c>
      <c r="J83" s="41">
        <v>0.7</v>
      </c>
      <c r="K83" s="107">
        <f>ROUND(J83*I83*G83,0)</f>
        <v>87500</v>
      </c>
      <c r="L83" s="309"/>
      <c r="M83" s="309"/>
      <c r="N83" s="309"/>
      <c r="O83" s="155"/>
      <c r="P83" s="119"/>
    </row>
    <row r="84" spans="1:16" s="13" customFormat="1" ht="19.5" customHeight="1" x14ac:dyDescent="0.25">
      <c r="A84" s="119"/>
      <c r="B84" s="70"/>
      <c r="C84" s="37" t="s">
        <v>122</v>
      </c>
      <c r="D84" s="36" t="s">
        <v>12</v>
      </c>
      <c r="E84" s="36"/>
      <c r="F84" s="36"/>
      <c r="G84" s="38">
        <v>1</v>
      </c>
      <c r="H84" s="39"/>
      <c r="I84" s="40">
        <v>65000</v>
      </c>
      <c r="J84" s="41">
        <v>0.7</v>
      </c>
      <c r="K84" s="107">
        <f>ROUND(J84*I84*G84,0)</f>
        <v>45500</v>
      </c>
      <c r="L84" s="309"/>
      <c r="M84" s="309"/>
      <c r="N84" s="309"/>
      <c r="O84" s="155"/>
      <c r="P84" s="119"/>
    </row>
    <row r="85" spans="1:16" s="13" customFormat="1" ht="19.5" customHeight="1" x14ac:dyDescent="0.25">
      <c r="A85" s="119"/>
      <c r="B85" s="70"/>
      <c r="C85" s="37" t="s">
        <v>139</v>
      </c>
      <c r="D85" s="36" t="s">
        <v>91</v>
      </c>
      <c r="E85" s="36"/>
      <c r="F85" s="36"/>
      <c r="G85" s="38">
        <v>2</v>
      </c>
      <c r="H85" s="39">
        <v>1.86</v>
      </c>
      <c r="I85" s="40">
        <v>3500</v>
      </c>
      <c r="J85" s="41">
        <v>0.7</v>
      </c>
      <c r="K85" s="107">
        <f t="shared" si="8"/>
        <v>9114</v>
      </c>
      <c r="L85" s="309"/>
      <c r="M85" s="309"/>
      <c r="N85" s="309"/>
      <c r="O85" s="155"/>
      <c r="P85" s="119"/>
    </row>
    <row r="86" spans="1:16" s="13" customFormat="1" ht="19.5" customHeight="1" x14ac:dyDescent="0.25">
      <c r="A86" s="119"/>
      <c r="B86" s="70"/>
      <c r="C86" s="37" t="s">
        <v>123</v>
      </c>
      <c r="D86" s="36" t="s">
        <v>12</v>
      </c>
      <c r="E86" s="36"/>
      <c r="F86" s="36"/>
      <c r="G86" s="38">
        <v>1</v>
      </c>
      <c r="H86" s="39"/>
      <c r="I86" s="40">
        <v>125000</v>
      </c>
      <c r="J86" s="41">
        <v>0.7</v>
      </c>
      <c r="K86" s="107">
        <f>ROUND(J86*I86*G86,0)</f>
        <v>87500</v>
      </c>
      <c r="L86" s="309"/>
      <c r="M86" s="309"/>
      <c r="N86" s="309"/>
      <c r="O86" s="155"/>
      <c r="P86" s="119"/>
    </row>
    <row r="87" spans="1:16" ht="66.75" customHeight="1" x14ac:dyDescent="0.25">
      <c r="B87" s="76" t="s">
        <v>9</v>
      </c>
      <c r="C87" s="30" t="s">
        <v>220</v>
      </c>
      <c r="D87" s="77"/>
      <c r="E87" s="77"/>
      <c r="F87" s="77"/>
      <c r="G87" s="31"/>
      <c r="H87" s="32"/>
      <c r="I87" s="49"/>
      <c r="J87" s="78"/>
      <c r="K87" s="35"/>
      <c r="L87" s="300"/>
      <c r="M87" s="300"/>
      <c r="N87" s="300"/>
      <c r="O87" s="146"/>
    </row>
    <row r="88" spans="1:16" s="4" customFormat="1" ht="30.75" customHeight="1" x14ac:dyDescent="0.25">
      <c r="A88" s="123"/>
      <c r="B88" s="29" t="s">
        <v>197</v>
      </c>
      <c r="C88" s="30" t="s">
        <v>262</v>
      </c>
      <c r="D88" s="29"/>
      <c r="E88" s="29"/>
      <c r="F88" s="29"/>
      <c r="G88" s="31"/>
      <c r="H88" s="32"/>
      <c r="I88" s="49"/>
      <c r="J88" s="78"/>
      <c r="K88" s="35"/>
      <c r="L88" s="300"/>
      <c r="M88" s="300"/>
      <c r="N88" s="300"/>
      <c r="O88" s="146"/>
      <c r="P88" s="123"/>
    </row>
    <row r="89" spans="1:16" ht="25.5" customHeight="1" x14ac:dyDescent="0.25">
      <c r="A89" s="5">
        <v>3</v>
      </c>
      <c r="B89" s="168">
        <v>3</v>
      </c>
      <c r="C89" s="169" t="s">
        <v>18</v>
      </c>
      <c r="D89" s="170"/>
      <c r="E89" s="170"/>
      <c r="F89" s="170"/>
      <c r="G89" s="171"/>
      <c r="H89" s="172"/>
      <c r="I89" s="173"/>
      <c r="J89" s="25"/>
      <c r="K89" s="26">
        <f>SUBTOTAL(9,K91,K104,K122,K129)</f>
        <v>306097636</v>
      </c>
      <c r="L89" s="299"/>
      <c r="M89" s="299"/>
      <c r="N89" s="299"/>
      <c r="O89" s="145">
        <v>318786998.87</v>
      </c>
      <c r="P89" s="167">
        <f>K89-O89</f>
        <v>-12689362.870000005</v>
      </c>
    </row>
    <row r="90" spans="1:16" ht="21.75" customHeight="1" x14ac:dyDescent="0.25">
      <c r="B90" s="168"/>
      <c r="C90" s="174" t="s">
        <v>201</v>
      </c>
      <c r="D90" s="179"/>
      <c r="E90" s="179"/>
      <c r="F90" s="179"/>
      <c r="G90" s="180"/>
      <c r="H90" s="181"/>
      <c r="I90" s="182"/>
      <c r="J90" s="118"/>
      <c r="K90" s="26"/>
      <c r="L90" s="299"/>
      <c r="M90" s="299"/>
      <c r="N90" s="299"/>
      <c r="O90" s="145"/>
    </row>
    <row r="91" spans="1:16" ht="101.25" customHeight="1" x14ac:dyDescent="0.25">
      <c r="B91" s="29" t="s">
        <v>6</v>
      </c>
      <c r="C91" s="30" t="s">
        <v>216</v>
      </c>
      <c r="D91" s="29"/>
      <c r="E91" s="29"/>
      <c r="F91" s="29"/>
      <c r="G91" s="31">
        <f>SUM(G92:G102)</f>
        <v>1682.9</v>
      </c>
      <c r="H91" s="32"/>
      <c r="I91" s="33"/>
      <c r="J91" s="34"/>
      <c r="K91" s="35">
        <f>SUM(K92:K102)</f>
        <v>108540800</v>
      </c>
      <c r="L91" s="300"/>
      <c r="M91" s="300"/>
      <c r="N91" s="300"/>
      <c r="O91" s="146"/>
    </row>
    <row r="92" spans="1:16" ht="134.25" customHeight="1" x14ac:dyDescent="0.25">
      <c r="B92" s="43"/>
      <c r="C92" s="69" t="s">
        <v>152</v>
      </c>
      <c r="D92" s="51" t="s">
        <v>11</v>
      </c>
      <c r="E92" s="43">
        <v>1</v>
      </c>
      <c r="F92" s="43">
        <v>39</v>
      </c>
      <c r="G92" s="45">
        <v>44.1</v>
      </c>
      <c r="H92" s="46"/>
      <c r="I92" s="47">
        <v>70000</v>
      </c>
      <c r="J92" s="48"/>
      <c r="K92" s="28">
        <f t="shared" ref="K92:K102" si="9">I92*G92</f>
        <v>3087000</v>
      </c>
      <c r="L92" s="302"/>
      <c r="M92" s="302"/>
      <c r="N92" s="302"/>
      <c r="O92" s="148"/>
      <c r="P92" s="5" t="s">
        <v>203</v>
      </c>
    </row>
    <row r="93" spans="1:16" ht="128.25" customHeight="1" x14ac:dyDescent="0.25">
      <c r="B93" s="43"/>
      <c r="C93" s="69" t="s">
        <v>152</v>
      </c>
      <c r="D93" s="51" t="s">
        <v>11</v>
      </c>
      <c r="E93" s="43">
        <v>1</v>
      </c>
      <c r="F93" s="43">
        <v>40</v>
      </c>
      <c r="G93" s="45">
        <v>29.2</v>
      </c>
      <c r="H93" s="46"/>
      <c r="I93" s="47">
        <v>70000</v>
      </c>
      <c r="J93" s="48"/>
      <c r="K93" s="28">
        <f t="shared" si="9"/>
        <v>2044000</v>
      </c>
      <c r="L93" s="302"/>
      <c r="M93" s="302"/>
      <c r="N93" s="302"/>
      <c r="O93" s="148"/>
      <c r="P93" s="5" t="s">
        <v>203</v>
      </c>
    </row>
    <row r="94" spans="1:16" ht="132" customHeight="1" x14ac:dyDescent="0.25">
      <c r="B94" s="43"/>
      <c r="C94" s="69" t="s">
        <v>173</v>
      </c>
      <c r="D94" s="51" t="s">
        <v>11</v>
      </c>
      <c r="E94" s="43">
        <v>1</v>
      </c>
      <c r="F94" s="43">
        <v>47</v>
      </c>
      <c r="G94" s="110">
        <v>89</v>
      </c>
      <c r="H94" s="111"/>
      <c r="I94" s="47">
        <v>55000</v>
      </c>
      <c r="J94" s="48"/>
      <c r="K94" s="28">
        <f t="shared" si="9"/>
        <v>4895000</v>
      </c>
      <c r="L94" s="302"/>
      <c r="M94" s="302"/>
      <c r="N94" s="302"/>
      <c r="O94" s="148"/>
      <c r="P94" s="5" t="s">
        <v>38</v>
      </c>
    </row>
    <row r="95" spans="1:16" ht="126" customHeight="1" x14ac:dyDescent="0.25">
      <c r="B95" s="43"/>
      <c r="C95" s="69" t="s">
        <v>152</v>
      </c>
      <c r="D95" s="51" t="s">
        <v>11</v>
      </c>
      <c r="E95" s="43">
        <v>1</v>
      </c>
      <c r="F95" s="43">
        <v>48</v>
      </c>
      <c r="G95" s="110">
        <v>42.4</v>
      </c>
      <c r="H95" s="111"/>
      <c r="I95" s="47">
        <v>70000</v>
      </c>
      <c r="J95" s="48"/>
      <c r="K95" s="28">
        <f t="shared" si="9"/>
        <v>2968000</v>
      </c>
      <c r="L95" s="302"/>
      <c r="M95" s="302"/>
      <c r="N95" s="302"/>
      <c r="O95" s="148"/>
      <c r="P95" s="5" t="s">
        <v>203</v>
      </c>
    </row>
    <row r="96" spans="1:16" ht="132" customHeight="1" x14ac:dyDescent="0.25">
      <c r="B96" s="43"/>
      <c r="C96" s="69" t="s">
        <v>152</v>
      </c>
      <c r="D96" s="51" t="s">
        <v>11</v>
      </c>
      <c r="E96" s="43">
        <v>1</v>
      </c>
      <c r="F96" s="43">
        <v>49</v>
      </c>
      <c r="G96" s="110">
        <v>22.3</v>
      </c>
      <c r="H96" s="111"/>
      <c r="I96" s="47">
        <v>70000</v>
      </c>
      <c r="J96" s="48"/>
      <c r="K96" s="28">
        <f t="shared" si="9"/>
        <v>1561000</v>
      </c>
      <c r="L96" s="302"/>
      <c r="M96" s="302"/>
      <c r="N96" s="302"/>
      <c r="O96" s="148"/>
      <c r="P96" s="5" t="s">
        <v>203</v>
      </c>
    </row>
    <row r="97" spans="1:16" ht="132.75" customHeight="1" x14ac:dyDescent="0.25">
      <c r="B97" s="43"/>
      <c r="C97" s="69" t="s">
        <v>152</v>
      </c>
      <c r="D97" s="51" t="s">
        <v>11</v>
      </c>
      <c r="E97" s="43">
        <v>1</v>
      </c>
      <c r="F97" s="43">
        <v>50</v>
      </c>
      <c r="G97" s="110">
        <v>17.5</v>
      </c>
      <c r="H97" s="111"/>
      <c r="I97" s="47">
        <v>70000</v>
      </c>
      <c r="J97" s="48"/>
      <c r="K97" s="28">
        <f t="shared" si="9"/>
        <v>1225000</v>
      </c>
      <c r="L97" s="302"/>
      <c r="M97" s="302"/>
      <c r="N97" s="302"/>
      <c r="O97" s="148"/>
      <c r="P97" s="5" t="s">
        <v>203</v>
      </c>
    </row>
    <row r="98" spans="1:16" ht="132" customHeight="1" x14ac:dyDescent="0.25">
      <c r="B98" s="43"/>
      <c r="C98" s="69" t="s">
        <v>153</v>
      </c>
      <c r="D98" s="51" t="s">
        <v>11</v>
      </c>
      <c r="E98" s="43">
        <v>1</v>
      </c>
      <c r="F98" s="43">
        <v>51</v>
      </c>
      <c r="G98" s="110">
        <v>71.400000000000006</v>
      </c>
      <c r="H98" s="111"/>
      <c r="I98" s="47">
        <v>50000</v>
      </c>
      <c r="J98" s="48"/>
      <c r="K98" s="28">
        <f t="shared" si="9"/>
        <v>3570000.0000000005</v>
      </c>
      <c r="L98" s="302"/>
      <c r="M98" s="302"/>
      <c r="N98" s="302"/>
      <c r="O98" s="148"/>
      <c r="P98" s="5" t="s">
        <v>164</v>
      </c>
    </row>
    <row r="99" spans="1:16" customFormat="1" ht="117" customHeight="1" x14ac:dyDescent="0.25">
      <c r="A99" s="122"/>
      <c r="B99" s="70"/>
      <c r="C99" s="69" t="s">
        <v>154</v>
      </c>
      <c r="D99" s="70" t="s">
        <v>11</v>
      </c>
      <c r="E99" s="70">
        <v>1</v>
      </c>
      <c r="F99" s="70">
        <v>52</v>
      </c>
      <c r="G99" s="110">
        <v>155.1</v>
      </c>
      <c r="H99" s="111"/>
      <c r="I99" s="73">
        <v>58000</v>
      </c>
      <c r="J99" s="74"/>
      <c r="K99" s="75">
        <f t="shared" si="9"/>
        <v>8995800</v>
      </c>
      <c r="L99" s="305"/>
      <c r="M99" s="305"/>
      <c r="N99" s="305"/>
      <c r="O99" s="151"/>
      <c r="P99" s="122" t="s">
        <v>37</v>
      </c>
    </row>
    <row r="100" spans="1:16" ht="100.5" customHeight="1" x14ac:dyDescent="0.25">
      <c r="B100" s="43"/>
      <c r="C100" s="50" t="s">
        <v>271</v>
      </c>
      <c r="D100" s="51" t="s">
        <v>11</v>
      </c>
      <c r="E100" s="43">
        <v>1</v>
      </c>
      <c r="F100" s="43">
        <v>85</v>
      </c>
      <c r="G100" s="110">
        <v>400</v>
      </c>
      <c r="H100" s="111"/>
      <c r="I100" s="47">
        <v>99000</v>
      </c>
      <c r="J100" s="48"/>
      <c r="K100" s="28">
        <f t="shared" si="9"/>
        <v>39600000</v>
      </c>
      <c r="L100" s="302"/>
      <c r="M100" s="302"/>
      <c r="N100" s="302"/>
      <c r="O100" s="148"/>
      <c r="P100" s="5" t="s">
        <v>202</v>
      </c>
    </row>
    <row r="101" spans="1:16" ht="130.5" customHeight="1" x14ac:dyDescent="0.25">
      <c r="B101" s="43"/>
      <c r="C101" s="69" t="s">
        <v>153</v>
      </c>
      <c r="D101" s="51" t="s">
        <v>11</v>
      </c>
      <c r="E101" s="43">
        <v>1</v>
      </c>
      <c r="F101" s="43">
        <v>85</v>
      </c>
      <c r="G101" s="110">
        <v>468.9</v>
      </c>
      <c r="H101" s="111"/>
      <c r="I101" s="47">
        <v>50000</v>
      </c>
      <c r="J101" s="48"/>
      <c r="K101" s="28">
        <f t="shared" si="9"/>
        <v>23445000</v>
      </c>
      <c r="L101" s="302"/>
      <c r="M101" s="302"/>
      <c r="N101" s="302"/>
      <c r="O101" s="148"/>
      <c r="P101" s="5" t="s">
        <v>164</v>
      </c>
    </row>
    <row r="102" spans="1:16" ht="126.75" customHeight="1" x14ac:dyDescent="0.25">
      <c r="B102" s="43"/>
      <c r="C102" s="69" t="s">
        <v>153</v>
      </c>
      <c r="D102" s="51" t="s">
        <v>11</v>
      </c>
      <c r="E102" s="43">
        <v>1</v>
      </c>
      <c r="F102" s="43">
        <v>128</v>
      </c>
      <c r="G102" s="110">
        <v>343</v>
      </c>
      <c r="H102" s="111"/>
      <c r="I102" s="47">
        <v>50000</v>
      </c>
      <c r="J102" s="48"/>
      <c r="K102" s="28">
        <f t="shared" si="9"/>
        <v>17150000</v>
      </c>
      <c r="L102" s="302"/>
      <c r="M102" s="302"/>
      <c r="N102" s="302"/>
      <c r="O102" s="148"/>
      <c r="P102" s="5" t="s">
        <v>164</v>
      </c>
    </row>
    <row r="103" spans="1:16" ht="96" customHeight="1" x14ac:dyDescent="0.25">
      <c r="B103" s="43"/>
      <c r="C103" s="265" t="s">
        <v>204</v>
      </c>
      <c r="D103" s="265"/>
      <c r="E103" s="265"/>
      <c r="F103" s="265"/>
      <c r="G103" s="265"/>
      <c r="H103" s="265"/>
      <c r="I103" s="265"/>
      <c r="J103" s="265"/>
      <c r="K103" s="265"/>
      <c r="L103" s="310"/>
      <c r="M103" s="310"/>
      <c r="N103" s="310"/>
      <c r="O103" s="156"/>
    </row>
    <row r="104" spans="1:16" ht="31.5" x14ac:dyDescent="0.25">
      <c r="B104" s="29" t="s">
        <v>7</v>
      </c>
      <c r="C104" s="30" t="s">
        <v>14</v>
      </c>
      <c r="D104" s="29"/>
      <c r="E104" s="29"/>
      <c r="F104" s="29"/>
      <c r="G104" s="31"/>
      <c r="H104" s="32"/>
      <c r="I104" s="49"/>
      <c r="J104" s="34"/>
      <c r="K104" s="35">
        <f>SUM(K105:K121)</f>
        <v>98125467</v>
      </c>
      <c r="L104" s="300"/>
      <c r="M104" s="300"/>
      <c r="N104" s="300"/>
      <c r="O104" s="146"/>
    </row>
    <row r="105" spans="1:16" ht="82.5" customHeight="1" x14ac:dyDescent="0.25">
      <c r="B105" s="43" t="s">
        <v>223</v>
      </c>
      <c r="C105" s="69" t="s">
        <v>148</v>
      </c>
      <c r="D105" s="51" t="s">
        <v>11</v>
      </c>
      <c r="E105" s="43"/>
      <c r="F105" s="43"/>
      <c r="G105" s="45">
        <f>8.4*5.3</f>
        <v>44.52</v>
      </c>
      <c r="H105" s="46"/>
      <c r="I105" s="47">
        <v>1170800</v>
      </c>
      <c r="J105" s="48"/>
      <c r="K105" s="28">
        <f>ROUND(I105*G105,0)</f>
        <v>52124016</v>
      </c>
      <c r="L105" s="302"/>
      <c r="M105" s="302"/>
      <c r="N105" s="302"/>
      <c r="O105" s="148"/>
    </row>
    <row r="106" spans="1:16" s="9" customFormat="1" ht="27.75" customHeight="1" x14ac:dyDescent="0.25">
      <c r="A106" s="120"/>
      <c r="B106" s="54" t="s">
        <v>222</v>
      </c>
      <c r="C106" s="127" t="s">
        <v>140</v>
      </c>
      <c r="D106" s="128" t="s">
        <v>205</v>
      </c>
      <c r="E106" s="129"/>
      <c r="F106" s="129"/>
      <c r="G106" s="130">
        <f>3*2.9</f>
        <v>8.6999999999999993</v>
      </c>
      <c r="H106" s="131"/>
      <c r="I106" s="132">
        <v>-450000</v>
      </c>
      <c r="J106" s="133"/>
      <c r="K106" s="28">
        <f t="shared" ref="K106:K121" si="10">ROUND(I106*G106,0)</f>
        <v>-3915000</v>
      </c>
      <c r="L106" s="302"/>
      <c r="M106" s="302"/>
      <c r="N106" s="302"/>
      <c r="O106" s="148"/>
      <c r="P106" s="120"/>
    </row>
    <row r="107" spans="1:16" s="9" customFormat="1" ht="30" customHeight="1" x14ac:dyDescent="0.25">
      <c r="A107" s="120"/>
      <c r="B107" s="54" t="s">
        <v>222</v>
      </c>
      <c r="C107" s="127" t="s">
        <v>178</v>
      </c>
      <c r="D107" s="129" t="s">
        <v>205</v>
      </c>
      <c r="E107" s="129"/>
      <c r="F107" s="129"/>
      <c r="G107" s="130">
        <f>(8.4*1*2)+(5.3*1*2)</f>
        <v>27.4</v>
      </c>
      <c r="H107" s="131"/>
      <c r="I107" s="132">
        <v>-41700</v>
      </c>
      <c r="J107" s="133"/>
      <c r="K107" s="28">
        <f t="shared" si="10"/>
        <v>-1142580</v>
      </c>
      <c r="L107" s="302"/>
      <c r="M107" s="302"/>
      <c r="N107" s="302"/>
      <c r="O107" s="148"/>
      <c r="P107" s="120"/>
    </row>
    <row r="108" spans="1:16" s="9" customFormat="1" ht="38.25" customHeight="1" x14ac:dyDescent="0.25">
      <c r="A108" s="120"/>
      <c r="B108" s="54" t="s">
        <v>222</v>
      </c>
      <c r="C108" s="127" t="s">
        <v>179</v>
      </c>
      <c r="D108" s="129" t="s">
        <v>205</v>
      </c>
      <c r="E108" s="129"/>
      <c r="F108" s="129"/>
      <c r="G108" s="130">
        <f>G107</f>
        <v>27.4</v>
      </c>
      <c r="H108" s="131"/>
      <c r="I108" s="132">
        <v>-52400</v>
      </c>
      <c r="J108" s="133"/>
      <c r="K108" s="28">
        <f t="shared" si="10"/>
        <v>-1435760</v>
      </c>
      <c r="L108" s="302"/>
      <c r="M108" s="302"/>
      <c r="N108" s="302"/>
      <c r="O108" s="148"/>
      <c r="P108" s="120"/>
    </row>
    <row r="109" spans="1:16" s="9" customFormat="1" ht="33.75" customHeight="1" x14ac:dyDescent="0.25">
      <c r="A109" s="120"/>
      <c r="B109" s="54" t="s">
        <v>222</v>
      </c>
      <c r="C109" s="127" t="s">
        <v>44</v>
      </c>
      <c r="D109" s="128" t="s">
        <v>205</v>
      </c>
      <c r="E109" s="129"/>
      <c r="F109" s="129"/>
      <c r="G109" s="130">
        <f>(8.4*1*2)+(5.3*1*2)</f>
        <v>27.4</v>
      </c>
      <c r="H109" s="131"/>
      <c r="I109" s="132">
        <v>-85800</v>
      </c>
      <c r="J109" s="133"/>
      <c r="K109" s="28">
        <f t="shared" si="10"/>
        <v>-2350920</v>
      </c>
      <c r="L109" s="302"/>
      <c r="M109" s="302"/>
      <c r="N109" s="302"/>
      <c r="O109" s="148"/>
      <c r="P109" s="120"/>
    </row>
    <row r="110" spans="1:16" s="10" customFormat="1" ht="30.75" customHeight="1" x14ac:dyDescent="0.25">
      <c r="A110" s="125"/>
      <c r="B110" s="54" t="s">
        <v>222</v>
      </c>
      <c r="C110" s="127" t="s">
        <v>43</v>
      </c>
      <c r="D110" s="128" t="s">
        <v>205</v>
      </c>
      <c r="E110" s="129"/>
      <c r="F110" s="129"/>
      <c r="G110" s="130">
        <f>(8.4*1*2)+(5.3*1*2)</f>
        <v>27.4</v>
      </c>
      <c r="H110" s="131"/>
      <c r="I110" s="132">
        <v>-52000</v>
      </c>
      <c r="J110" s="133"/>
      <c r="K110" s="28">
        <f t="shared" si="10"/>
        <v>-1424800</v>
      </c>
      <c r="L110" s="302"/>
      <c r="M110" s="302"/>
      <c r="N110" s="302"/>
      <c r="O110" s="148"/>
      <c r="P110" s="125"/>
    </row>
    <row r="111" spans="1:16" ht="42.75" customHeight="1" x14ac:dyDescent="0.25">
      <c r="B111" s="54" t="s">
        <v>223</v>
      </c>
      <c r="C111" s="69" t="s">
        <v>19</v>
      </c>
      <c r="D111" s="51" t="s">
        <v>11</v>
      </c>
      <c r="E111" s="43"/>
      <c r="F111" s="43"/>
      <c r="G111" s="45">
        <f>8.4*5.3</f>
        <v>44.52</v>
      </c>
      <c r="H111" s="46"/>
      <c r="I111" s="47">
        <v>613700</v>
      </c>
      <c r="J111" s="48"/>
      <c r="K111" s="28">
        <f t="shared" si="10"/>
        <v>27321924</v>
      </c>
      <c r="L111" s="302"/>
      <c r="M111" s="302"/>
      <c r="N111" s="302"/>
      <c r="O111" s="148"/>
    </row>
    <row r="112" spans="1:16" s="9" customFormat="1" ht="36.75" customHeight="1" x14ac:dyDescent="0.25">
      <c r="A112" s="120"/>
      <c r="B112" s="54"/>
      <c r="C112" s="52" t="s">
        <v>60</v>
      </c>
      <c r="D112" s="60" t="s">
        <v>17</v>
      </c>
      <c r="E112" s="54"/>
      <c r="F112" s="54"/>
      <c r="G112" s="55">
        <f>8.4*5.3*0.1</f>
        <v>4.4520000000000008</v>
      </c>
      <c r="H112" s="56"/>
      <c r="I112" s="57">
        <v>-1290700</v>
      </c>
      <c r="J112" s="58"/>
      <c r="K112" s="28">
        <f t="shared" si="10"/>
        <v>-5746196</v>
      </c>
      <c r="L112" s="302"/>
      <c r="M112" s="302"/>
      <c r="N112" s="302"/>
      <c r="O112" s="148"/>
      <c r="P112" s="120"/>
    </row>
    <row r="113" spans="1:16" ht="52.5" customHeight="1" x14ac:dyDescent="0.25">
      <c r="B113" s="54" t="s">
        <v>223</v>
      </c>
      <c r="C113" s="69" t="s">
        <v>280</v>
      </c>
      <c r="D113" s="51" t="s">
        <v>11</v>
      </c>
      <c r="E113" s="43"/>
      <c r="F113" s="43"/>
      <c r="G113" s="45">
        <f>5.8*4.2</f>
        <v>24.36</v>
      </c>
      <c r="H113" s="46"/>
      <c r="I113" s="47">
        <v>354100</v>
      </c>
      <c r="J113" s="48"/>
      <c r="K113" s="28">
        <f t="shared" si="10"/>
        <v>8625876</v>
      </c>
      <c r="L113" s="302"/>
      <c r="M113" s="302"/>
      <c r="N113" s="302"/>
      <c r="O113" s="148"/>
    </row>
    <row r="114" spans="1:16" ht="28.5" customHeight="1" x14ac:dyDescent="0.25">
      <c r="B114" s="54"/>
      <c r="C114" s="69" t="s">
        <v>281</v>
      </c>
      <c r="D114" s="51" t="s">
        <v>11</v>
      </c>
      <c r="E114" s="43"/>
      <c r="F114" s="43"/>
      <c r="G114" s="45">
        <f>5.8*4.2</f>
        <v>24.36</v>
      </c>
      <c r="H114" s="46"/>
      <c r="I114" s="47">
        <f>60200-153000</f>
        <v>-92800</v>
      </c>
      <c r="J114" s="48"/>
      <c r="K114" s="28">
        <f t="shared" si="10"/>
        <v>-2260608</v>
      </c>
      <c r="L114" s="302"/>
      <c r="M114" s="302"/>
      <c r="N114" s="302"/>
      <c r="O114" s="148"/>
    </row>
    <row r="115" spans="1:16" s="9" customFormat="1" ht="36.75" customHeight="1" x14ac:dyDescent="0.25">
      <c r="A115" s="120"/>
      <c r="B115" s="54"/>
      <c r="C115" s="52" t="s">
        <v>45</v>
      </c>
      <c r="D115" s="60" t="s">
        <v>17</v>
      </c>
      <c r="E115" s="54"/>
      <c r="F115" s="54"/>
      <c r="G115" s="55">
        <f>5.8*4.2*0.1</f>
        <v>2.4359999999999999</v>
      </c>
      <c r="H115" s="56"/>
      <c r="I115" s="57">
        <v>-1290700</v>
      </c>
      <c r="J115" s="58"/>
      <c r="K115" s="28">
        <f t="shared" si="10"/>
        <v>-3144145</v>
      </c>
      <c r="L115" s="302"/>
      <c r="M115" s="302"/>
      <c r="N115" s="302"/>
      <c r="O115" s="148"/>
      <c r="P115" s="120"/>
    </row>
    <row r="116" spans="1:16" customFormat="1" ht="48.75" customHeight="1" x14ac:dyDescent="0.25">
      <c r="A116" s="122"/>
      <c r="B116" s="70" t="s">
        <v>223</v>
      </c>
      <c r="C116" s="50" t="s">
        <v>167</v>
      </c>
      <c r="D116" s="70" t="s">
        <v>11</v>
      </c>
      <c r="E116" s="70"/>
      <c r="F116" s="70"/>
      <c r="G116" s="71">
        <f>3*5</f>
        <v>15</v>
      </c>
      <c r="H116" s="72"/>
      <c r="I116" s="73">
        <v>246700</v>
      </c>
      <c r="J116" s="74"/>
      <c r="K116" s="28">
        <f t="shared" si="10"/>
        <v>3700500</v>
      </c>
      <c r="L116" s="302"/>
      <c r="M116" s="302"/>
      <c r="N116" s="302"/>
      <c r="O116" s="148"/>
      <c r="P116" s="122"/>
    </row>
    <row r="117" spans="1:16" ht="44.25" customHeight="1" x14ac:dyDescent="0.25">
      <c r="B117" s="43" t="s">
        <v>223</v>
      </c>
      <c r="C117" s="69" t="s">
        <v>168</v>
      </c>
      <c r="D117" s="51" t="s">
        <v>11</v>
      </c>
      <c r="E117" s="43"/>
      <c r="F117" s="43"/>
      <c r="G117" s="45">
        <f>4*4</f>
        <v>16</v>
      </c>
      <c r="H117" s="46"/>
      <c r="I117" s="47">
        <v>279800</v>
      </c>
      <c r="J117" s="48"/>
      <c r="K117" s="28">
        <f t="shared" si="10"/>
        <v>4476800</v>
      </c>
      <c r="L117" s="302"/>
      <c r="M117" s="302"/>
      <c r="N117" s="302"/>
      <c r="O117" s="148"/>
    </row>
    <row r="118" spans="1:16" s="9" customFormat="1" ht="36.75" customHeight="1" x14ac:dyDescent="0.25">
      <c r="A118" s="120"/>
      <c r="B118" s="54"/>
      <c r="C118" s="52" t="s">
        <v>54</v>
      </c>
      <c r="D118" s="60" t="s">
        <v>17</v>
      </c>
      <c r="E118" s="54"/>
      <c r="F118" s="54"/>
      <c r="G118" s="55">
        <f>4*4*0.1</f>
        <v>1.6</v>
      </c>
      <c r="H118" s="56"/>
      <c r="I118" s="57">
        <v>-1290700</v>
      </c>
      <c r="J118" s="58"/>
      <c r="K118" s="28">
        <f t="shared" si="10"/>
        <v>-2065120</v>
      </c>
      <c r="L118" s="302"/>
      <c r="M118" s="302"/>
      <c r="N118" s="302"/>
      <c r="O118" s="148"/>
      <c r="P118" s="120"/>
    </row>
    <row r="119" spans="1:16" ht="24.75" customHeight="1" x14ac:dyDescent="0.25">
      <c r="B119" s="70" t="s">
        <v>223</v>
      </c>
      <c r="C119" s="69" t="s">
        <v>20</v>
      </c>
      <c r="D119" s="43" t="s">
        <v>11</v>
      </c>
      <c r="E119" s="43"/>
      <c r="F119" s="43"/>
      <c r="G119" s="45">
        <v>3</v>
      </c>
      <c r="H119" s="46"/>
      <c r="I119" s="47">
        <v>114600</v>
      </c>
      <c r="J119" s="48"/>
      <c r="K119" s="28">
        <f t="shared" si="10"/>
        <v>343800</v>
      </c>
      <c r="L119" s="302"/>
      <c r="M119" s="302"/>
      <c r="N119" s="302"/>
      <c r="O119" s="148"/>
    </row>
    <row r="120" spans="1:16" s="261" customFormat="1" ht="37.5" customHeight="1" x14ac:dyDescent="0.25">
      <c r="A120" s="252"/>
      <c r="B120" s="253" t="s">
        <v>223</v>
      </c>
      <c r="C120" s="254" t="s">
        <v>55</v>
      </c>
      <c r="D120" s="255" t="s">
        <v>17</v>
      </c>
      <c r="E120" s="253"/>
      <c r="F120" s="253"/>
      <c r="G120" s="79">
        <f>0.6*0.6*3.14*10</f>
        <v>11.304</v>
      </c>
      <c r="H120" s="256"/>
      <c r="I120" s="257">
        <v>0</v>
      </c>
      <c r="J120" s="258"/>
      <c r="K120" s="259">
        <f t="shared" si="10"/>
        <v>0</v>
      </c>
      <c r="L120" s="311"/>
      <c r="M120" s="311"/>
      <c r="N120" s="311"/>
      <c r="O120" s="260"/>
      <c r="P120" s="252"/>
    </row>
    <row r="121" spans="1:16" ht="51" customHeight="1" x14ac:dyDescent="0.25">
      <c r="B121" s="43" t="s">
        <v>223</v>
      </c>
      <c r="C121" s="69" t="s">
        <v>166</v>
      </c>
      <c r="D121" s="60" t="s">
        <v>41</v>
      </c>
      <c r="E121" s="43"/>
      <c r="F121" s="43"/>
      <c r="G121" s="45">
        <f>(6.4*2)+(4.5*2)</f>
        <v>21.8</v>
      </c>
      <c r="H121" s="46"/>
      <c r="I121" s="47">
        <v>1147600</v>
      </c>
      <c r="J121" s="48"/>
      <c r="K121" s="28">
        <f t="shared" si="10"/>
        <v>25017680</v>
      </c>
      <c r="L121" s="302"/>
      <c r="M121" s="302"/>
      <c r="N121" s="302"/>
      <c r="O121" s="148"/>
    </row>
    <row r="122" spans="1:16" ht="31.5" x14ac:dyDescent="0.25">
      <c r="B122" s="29" t="s">
        <v>8</v>
      </c>
      <c r="C122" s="30" t="s">
        <v>10</v>
      </c>
      <c r="D122" s="29"/>
      <c r="E122" s="29"/>
      <c r="F122" s="29"/>
      <c r="G122" s="31"/>
      <c r="H122" s="32"/>
      <c r="I122" s="49"/>
      <c r="J122" s="34"/>
      <c r="K122" s="35">
        <f>SUM(K123:K128)</f>
        <v>1378069</v>
      </c>
      <c r="L122" s="300"/>
      <c r="M122" s="300"/>
      <c r="N122" s="300"/>
      <c r="O122" s="146"/>
    </row>
    <row r="123" spans="1:16" customFormat="1" ht="23.25" customHeight="1" x14ac:dyDescent="0.25">
      <c r="A123" s="122"/>
      <c r="B123" s="70"/>
      <c r="C123" s="50" t="s">
        <v>21</v>
      </c>
      <c r="D123" s="70" t="s">
        <v>49</v>
      </c>
      <c r="E123" s="70"/>
      <c r="F123" s="70"/>
      <c r="G123" s="71">
        <v>2</v>
      </c>
      <c r="H123" s="72">
        <v>11.016999999999999</v>
      </c>
      <c r="I123" s="73">
        <v>6600</v>
      </c>
      <c r="J123" s="74">
        <v>0.7</v>
      </c>
      <c r="K123" s="75">
        <f>ROUND(J123*I123*H123*G123,0)</f>
        <v>101797</v>
      </c>
      <c r="L123" s="305"/>
      <c r="M123" s="305"/>
      <c r="N123" s="305"/>
      <c r="O123" s="151"/>
      <c r="P123" s="122"/>
    </row>
    <row r="124" spans="1:16" customFormat="1" ht="23.25" customHeight="1" x14ac:dyDescent="0.25">
      <c r="A124" s="122"/>
      <c r="B124" s="70"/>
      <c r="C124" s="50" t="s">
        <v>22</v>
      </c>
      <c r="D124" s="70" t="s">
        <v>49</v>
      </c>
      <c r="E124" s="70"/>
      <c r="F124" s="70"/>
      <c r="G124" s="71">
        <v>8</v>
      </c>
      <c r="H124" s="72">
        <v>1.712</v>
      </c>
      <c r="I124" s="73">
        <v>3500</v>
      </c>
      <c r="J124" s="74">
        <v>0.7</v>
      </c>
      <c r="K124" s="75">
        <f t="shared" ref="K124:K127" si="11">ROUND(J124*I124*H124*G124,0)</f>
        <v>33555</v>
      </c>
      <c r="L124" s="305"/>
      <c r="M124" s="305"/>
      <c r="N124" s="305"/>
      <c r="O124" s="151"/>
      <c r="P124" s="122"/>
    </row>
    <row r="125" spans="1:16" customFormat="1" ht="23.25" customHeight="1" x14ac:dyDescent="0.25">
      <c r="A125" s="122"/>
      <c r="B125" s="70"/>
      <c r="C125" s="50" t="s">
        <v>23</v>
      </c>
      <c r="D125" s="70" t="s">
        <v>49</v>
      </c>
      <c r="E125" s="70"/>
      <c r="F125" s="70"/>
      <c r="G125" s="71">
        <v>16</v>
      </c>
      <c r="H125" s="72">
        <v>10.228999999999999</v>
      </c>
      <c r="I125" s="73">
        <v>6200</v>
      </c>
      <c r="J125" s="74">
        <v>0.7</v>
      </c>
      <c r="K125" s="75">
        <f t="shared" si="11"/>
        <v>710302</v>
      </c>
      <c r="L125" s="305"/>
      <c r="M125" s="305"/>
      <c r="N125" s="305"/>
      <c r="O125" s="151"/>
      <c r="P125" s="122"/>
    </row>
    <row r="126" spans="1:16" ht="23.25" customHeight="1" x14ac:dyDescent="0.25">
      <c r="B126" s="43"/>
      <c r="C126" s="69" t="s">
        <v>25</v>
      </c>
      <c r="D126" s="43" t="s">
        <v>49</v>
      </c>
      <c r="E126" s="43"/>
      <c r="F126" s="43"/>
      <c r="G126" s="45">
        <v>20</v>
      </c>
      <c r="H126" s="46">
        <v>1.7869999999999999</v>
      </c>
      <c r="I126" s="47">
        <v>19200</v>
      </c>
      <c r="J126" s="48">
        <v>0.7</v>
      </c>
      <c r="K126" s="75">
        <f t="shared" si="11"/>
        <v>480346</v>
      </c>
      <c r="L126" s="305"/>
      <c r="M126" s="305"/>
      <c r="N126" s="305"/>
      <c r="O126" s="151"/>
    </row>
    <row r="127" spans="1:16" customFormat="1" ht="23.25" customHeight="1" x14ac:dyDescent="0.25">
      <c r="A127" s="122"/>
      <c r="B127" s="70"/>
      <c r="C127" s="50" t="s">
        <v>24</v>
      </c>
      <c r="D127" s="70" t="s">
        <v>49</v>
      </c>
      <c r="E127" s="70"/>
      <c r="F127" s="70"/>
      <c r="G127" s="71">
        <v>7</v>
      </c>
      <c r="H127" s="72">
        <v>0.64500000000000002</v>
      </c>
      <c r="I127" s="73">
        <v>2300</v>
      </c>
      <c r="J127" s="74">
        <v>0.7</v>
      </c>
      <c r="K127" s="75">
        <f t="shared" si="11"/>
        <v>7269</v>
      </c>
      <c r="L127" s="305"/>
      <c r="M127" s="305"/>
      <c r="N127" s="305"/>
      <c r="O127" s="151"/>
      <c r="P127" s="122"/>
    </row>
    <row r="128" spans="1:16" ht="23.25" customHeight="1" x14ac:dyDescent="0.25">
      <c r="B128" s="43"/>
      <c r="C128" s="69" t="s">
        <v>142</v>
      </c>
      <c r="D128" s="43" t="s">
        <v>42</v>
      </c>
      <c r="E128" s="43"/>
      <c r="F128" s="43"/>
      <c r="G128" s="45">
        <v>2</v>
      </c>
      <c r="H128" s="46"/>
      <c r="I128" s="47">
        <v>32000</v>
      </c>
      <c r="J128" s="48">
        <v>0.7</v>
      </c>
      <c r="K128" s="75">
        <f>ROUND(J128*I128*G128,0)</f>
        <v>44800</v>
      </c>
      <c r="L128" s="305"/>
      <c r="M128" s="305"/>
      <c r="N128" s="305"/>
      <c r="O128" s="151"/>
    </row>
    <row r="129" spans="1:17" ht="69" customHeight="1" x14ac:dyDescent="0.25">
      <c r="B129" s="76" t="s">
        <v>9</v>
      </c>
      <c r="C129" s="30" t="s">
        <v>13</v>
      </c>
      <c r="D129" s="77"/>
      <c r="E129" s="77"/>
      <c r="F129" s="77"/>
      <c r="G129" s="31"/>
      <c r="H129" s="32"/>
      <c r="I129" s="49"/>
      <c r="J129" s="78"/>
      <c r="K129" s="35">
        <f>SUM(K131:K140)</f>
        <v>98053300</v>
      </c>
      <c r="L129" s="300"/>
      <c r="M129" s="300"/>
      <c r="N129" s="300"/>
      <c r="O129" s="146"/>
      <c r="P129" s="5">
        <v>94979300</v>
      </c>
    </row>
    <row r="130" spans="1:17" ht="102" customHeight="1" x14ac:dyDescent="0.25">
      <c r="B130" s="76"/>
      <c r="C130" s="138" t="s">
        <v>213</v>
      </c>
      <c r="D130" s="139"/>
      <c r="E130" s="139"/>
      <c r="F130" s="139"/>
      <c r="G130" s="140"/>
      <c r="H130" s="141"/>
      <c r="I130" s="142"/>
      <c r="J130" s="143"/>
      <c r="K130" s="35"/>
      <c r="L130" s="300"/>
      <c r="M130" s="300"/>
      <c r="N130" s="300"/>
      <c r="O130" s="146"/>
    </row>
    <row r="131" spans="1:17" ht="21" customHeight="1" x14ac:dyDescent="0.25">
      <c r="B131" s="76"/>
      <c r="C131" s="69" t="s">
        <v>206</v>
      </c>
      <c r="D131" s="51" t="s">
        <v>11</v>
      </c>
      <c r="E131" s="43">
        <v>1</v>
      </c>
      <c r="F131" s="43">
        <v>39</v>
      </c>
      <c r="G131" s="45">
        <v>44.1</v>
      </c>
      <c r="H131" s="46"/>
      <c r="I131" s="47">
        <v>70000</v>
      </c>
      <c r="J131" s="47">
        <v>3</v>
      </c>
      <c r="K131" s="28">
        <f>ROUND(I131*G131*J131,0)</f>
        <v>9261000</v>
      </c>
      <c r="L131" s="302"/>
      <c r="M131" s="302"/>
      <c r="N131" s="302"/>
      <c r="O131" s="148"/>
      <c r="P131" s="5" t="s">
        <v>203</v>
      </c>
      <c r="Q131" s="134">
        <f>G131+G132+G134+G135+G136</f>
        <v>155.5</v>
      </c>
    </row>
    <row r="132" spans="1:17" ht="21" customHeight="1" x14ac:dyDescent="0.25">
      <c r="B132" s="76"/>
      <c r="C132" s="69" t="s">
        <v>206</v>
      </c>
      <c r="D132" s="51" t="s">
        <v>11</v>
      </c>
      <c r="E132" s="43">
        <v>1</v>
      </c>
      <c r="F132" s="43">
        <v>40</v>
      </c>
      <c r="G132" s="45">
        <v>29.2</v>
      </c>
      <c r="H132" s="46"/>
      <c r="I132" s="47">
        <v>70000</v>
      </c>
      <c r="J132" s="47">
        <v>3</v>
      </c>
      <c r="K132" s="28">
        <f t="shared" ref="K132:K140" si="12">ROUND(I132*G132*J132,0)</f>
        <v>6132000</v>
      </c>
      <c r="L132" s="302"/>
      <c r="M132" s="302"/>
      <c r="N132" s="302"/>
      <c r="O132" s="148"/>
      <c r="P132" s="5" t="s">
        <v>203</v>
      </c>
    </row>
    <row r="133" spans="1:17" ht="21" customHeight="1" x14ac:dyDescent="0.25">
      <c r="B133" s="76"/>
      <c r="C133" s="69" t="s">
        <v>207</v>
      </c>
      <c r="D133" s="51" t="s">
        <v>11</v>
      </c>
      <c r="E133" s="43">
        <v>1</v>
      </c>
      <c r="F133" s="43">
        <v>47</v>
      </c>
      <c r="G133" s="110">
        <v>89</v>
      </c>
      <c r="H133" s="111"/>
      <c r="I133" s="47">
        <v>55000</v>
      </c>
      <c r="J133" s="47">
        <v>2.5</v>
      </c>
      <c r="K133" s="28">
        <f t="shared" si="12"/>
        <v>12237500</v>
      </c>
      <c r="L133" s="302"/>
      <c r="M133" s="302"/>
      <c r="N133" s="302"/>
      <c r="O133" s="148"/>
      <c r="P133" s="5" t="s">
        <v>38</v>
      </c>
      <c r="Q133" s="136">
        <f>G133</f>
        <v>89</v>
      </c>
    </row>
    <row r="134" spans="1:17" ht="21" customHeight="1" x14ac:dyDescent="0.25">
      <c r="B134" s="76"/>
      <c r="C134" s="69" t="s">
        <v>206</v>
      </c>
      <c r="D134" s="51" t="s">
        <v>11</v>
      </c>
      <c r="E134" s="43">
        <v>1</v>
      </c>
      <c r="F134" s="43">
        <v>48</v>
      </c>
      <c r="G134" s="110">
        <v>42.4</v>
      </c>
      <c r="H134" s="111"/>
      <c r="I134" s="47">
        <v>70000</v>
      </c>
      <c r="J134" s="47">
        <v>3</v>
      </c>
      <c r="K134" s="28">
        <f t="shared" si="12"/>
        <v>8904000</v>
      </c>
      <c r="L134" s="302"/>
      <c r="M134" s="302"/>
      <c r="N134" s="302"/>
      <c r="O134" s="148"/>
      <c r="P134" s="5" t="s">
        <v>203</v>
      </c>
    </row>
    <row r="135" spans="1:17" ht="21" customHeight="1" x14ac:dyDescent="0.25">
      <c r="B135" s="76"/>
      <c r="C135" s="69" t="s">
        <v>206</v>
      </c>
      <c r="D135" s="51" t="s">
        <v>11</v>
      </c>
      <c r="E135" s="43">
        <v>1</v>
      </c>
      <c r="F135" s="43">
        <v>49</v>
      </c>
      <c r="G135" s="110">
        <v>22.3</v>
      </c>
      <c r="H135" s="111"/>
      <c r="I135" s="47">
        <v>70000</v>
      </c>
      <c r="J135" s="47">
        <v>3</v>
      </c>
      <c r="K135" s="28">
        <f t="shared" si="12"/>
        <v>4683000</v>
      </c>
      <c r="L135" s="302"/>
      <c r="M135" s="302"/>
      <c r="N135" s="302"/>
      <c r="O135" s="148"/>
      <c r="P135" s="5" t="s">
        <v>203</v>
      </c>
    </row>
    <row r="136" spans="1:17" ht="21" customHeight="1" x14ac:dyDescent="0.25">
      <c r="B136" s="76"/>
      <c r="C136" s="69" t="s">
        <v>208</v>
      </c>
      <c r="D136" s="51" t="s">
        <v>11</v>
      </c>
      <c r="E136" s="43">
        <v>1</v>
      </c>
      <c r="F136" s="43">
        <v>50</v>
      </c>
      <c r="G136" s="110">
        <v>17.5</v>
      </c>
      <c r="H136" s="111"/>
      <c r="I136" s="47">
        <v>70000</v>
      </c>
      <c r="J136" s="47">
        <v>3</v>
      </c>
      <c r="K136" s="28">
        <f t="shared" si="12"/>
        <v>3675000</v>
      </c>
      <c r="L136" s="302"/>
      <c r="M136" s="302"/>
      <c r="N136" s="302"/>
      <c r="O136" s="148"/>
      <c r="P136" s="5" t="s">
        <v>203</v>
      </c>
    </row>
    <row r="137" spans="1:17" ht="21" customHeight="1" x14ac:dyDescent="0.25">
      <c r="B137" s="76"/>
      <c r="C137" s="69" t="s">
        <v>209</v>
      </c>
      <c r="D137" s="51" t="s">
        <v>11</v>
      </c>
      <c r="E137" s="43">
        <v>1</v>
      </c>
      <c r="F137" s="43">
        <v>51</v>
      </c>
      <c r="G137" s="110">
        <v>71.400000000000006</v>
      </c>
      <c r="H137" s="111"/>
      <c r="I137" s="47">
        <v>50000</v>
      </c>
      <c r="J137" s="47">
        <v>1</v>
      </c>
      <c r="K137" s="28">
        <f t="shared" si="12"/>
        <v>3570000</v>
      </c>
      <c r="L137" s="302"/>
      <c r="M137" s="302"/>
      <c r="N137" s="302"/>
      <c r="O137" s="148"/>
      <c r="P137" s="5" t="s">
        <v>164</v>
      </c>
      <c r="Q137" s="134">
        <f>G137+G139+G140</f>
        <v>883.3</v>
      </c>
    </row>
    <row r="138" spans="1:17" ht="21" customHeight="1" x14ac:dyDescent="0.25">
      <c r="B138" s="76"/>
      <c r="C138" s="69" t="s">
        <v>210</v>
      </c>
      <c r="D138" s="70" t="s">
        <v>11</v>
      </c>
      <c r="E138" s="70">
        <v>1</v>
      </c>
      <c r="F138" s="70">
        <v>52</v>
      </c>
      <c r="G138" s="110">
        <v>155.1</v>
      </c>
      <c r="H138" s="111"/>
      <c r="I138" s="73">
        <v>58000</v>
      </c>
      <c r="J138" s="73">
        <v>1</v>
      </c>
      <c r="K138" s="28">
        <f t="shared" si="12"/>
        <v>8995800</v>
      </c>
      <c r="L138" s="302"/>
      <c r="M138" s="302"/>
      <c r="N138" s="302"/>
      <c r="O138" s="148"/>
      <c r="P138" s="122" t="s">
        <v>37</v>
      </c>
      <c r="Q138" s="135">
        <f>G138</f>
        <v>155.1</v>
      </c>
    </row>
    <row r="139" spans="1:17" ht="21" customHeight="1" x14ac:dyDescent="0.25">
      <c r="B139" s="76"/>
      <c r="C139" s="69" t="s">
        <v>211</v>
      </c>
      <c r="D139" s="51" t="s">
        <v>11</v>
      </c>
      <c r="E139" s="43">
        <v>1</v>
      </c>
      <c r="F139" s="43">
        <v>85</v>
      </c>
      <c r="G139" s="110">
        <v>468.9</v>
      </c>
      <c r="H139" s="111"/>
      <c r="I139" s="47">
        <v>50000</v>
      </c>
      <c r="J139" s="47">
        <v>1</v>
      </c>
      <c r="K139" s="28">
        <f t="shared" si="12"/>
        <v>23445000</v>
      </c>
      <c r="L139" s="302"/>
      <c r="M139" s="302"/>
      <c r="N139" s="302"/>
      <c r="O139" s="148"/>
      <c r="P139" s="5" t="s">
        <v>164</v>
      </c>
    </row>
    <row r="140" spans="1:17" ht="22.5" customHeight="1" x14ac:dyDescent="0.25">
      <c r="B140" s="76"/>
      <c r="C140" s="69" t="s">
        <v>211</v>
      </c>
      <c r="D140" s="51" t="s">
        <v>11</v>
      </c>
      <c r="E140" s="43">
        <v>1</v>
      </c>
      <c r="F140" s="43">
        <v>128</v>
      </c>
      <c r="G140" s="110">
        <v>343</v>
      </c>
      <c r="H140" s="111"/>
      <c r="I140" s="47">
        <v>50000</v>
      </c>
      <c r="J140" s="47">
        <v>1</v>
      </c>
      <c r="K140" s="28">
        <f t="shared" si="12"/>
        <v>17150000</v>
      </c>
      <c r="L140" s="302"/>
      <c r="M140" s="302"/>
      <c r="N140" s="302"/>
      <c r="O140" s="148"/>
      <c r="P140" s="5" t="s">
        <v>164</v>
      </c>
    </row>
    <row r="141" spans="1:17" ht="23.25" customHeight="1" x14ac:dyDescent="0.25">
      <c r="B141" s="29" t="str">
        <f t="shared" ref="B141" si="13">B196</f>
        <v>đ</v>
      </c>
      <c r="C141" s="30" t="s">
        <v>262</v>
      </c>
      <c r="D141" s="43"/>
      <c r="E141" s="43"/>
      <c r="F141" s="43"/>
      <c r="G141" s="45"/>
      <c r="H141" s="46"/>
      <c r="I141" s="47"/>
      <c r="J141" s="48"/>
      <c r="K141" s="28"/>
      <c r="L141" s="302"/>
      <c r="M141" s="302"/>
      <c r="N141" s="302"/>
      <c r="O141" s="148"/>
    </row>
    <row r="142" spans="1:17" ht="25.5" customHeight="1" x14ac:dyDescent="0.25">
      <c r="A142" s="5">
        <v>4</v>
      </c>
      <c r="B142" s="168">
        <v>4</v>
      </c>
      <c r="C142" s="169" t="s">
        <v>26</v>
      </c>
      <c r="D142" s="170"/>
      <c r="E142" s="170"/>
      <c r="F142" s="170"/>
      <c r="G142" s="171"/>
      <c r="H142" s="172"/>
      <c r="I142" s="173"/>
      <c r="J142" s="25"/>
      <c r="K142" s="26">
        <f>SUBTOTAL(9,K144,K149,K179,K192,K196)</f>
        <v>568736851.18903089</v>
      </c>
      <c r="L142" s="299"/>
      <c r="M142" s="299"/>
      <c r="N142" s="299"/>
      <c r="O142" s="145">
        <v>561129512.74235296</v>
      </c>
      <c r="P142" s="167">
        <f>K142-O142</f>
        <v>7607338.4466779232</v>
      </c>
    </row>
    <row r="143" spans="1:17" ht="20.25" customHeight="1" x14ac:dyDescent="0.25">
      <c r="B143" s="168"/>
      <c r="C143" s="174" t="s">
        <v>212</v>
      </c>
      <c r="D143" s="175"/>
      <c r="E143" s="175"/>
      <c r="F143" s="175"/>
      <c r="G143" s="176"/>
      <c r="H143" s="177"/>
      <c r="I143" s="178"/>
      <c r="J143" s="137"/>
      <c r="K143" s="26"/>
      <c r="L143" s="299"/>
      <c r="M143" s="299"/>
      <c r="N143" s="299"/>
      <c r="O143" s="145"/>
    </row>
    <row r="144" spans="1:17" ht="104.25" customHeight="1" x14ac:dyDescent="0.25">
      <c r="B144" s="29" t="s">
        <v>6</v>
      </c>
      <c r="C144" s="30" t="s">
        <v>215</v>
      </c>
      <c r="D144" s="144"/>
      <c r="E144" s="144"/>
      <c r="F144" s="144"/>
      <c r="G144" s="31">
        <f>SUM(G145:G147)</f>
        <v>1455.6</v>
      </c>
      <c r="H144" s="32"/>
      <c r="I144" s="33"/>
      <c r="J144" s="34"/>
      <c r="K144" s="35">
        <f>SUM(K145:K147)</f>
        <v>92380000</v>
      </c>
      <c r="L144" s="300"/>
      <c r="M144" s="300"/>
      <c r="N144" s="300"/>
      <c r="O144" s="146"/>
    </row>
    <row r="145" spans="1:16" customFormat="1" ht="102" customHeight="1" x14ac:dyDescent="0.25">
      <c r="A145" s="122"/>
      <c r="B145" s="70"/>
      <c r="C145" s="50" t="s">
        <v>275</v>
      </c>
      <c r="D145" s="36" t="s">
        <v>39</v>
      </c>
      <c r="E145" s="70">
        <v>1</v>
      </c>
      <c r="F145" s="70">
        <v>111</v>
      </c>
      <c r="G145" s="79">
        <v>400</v>
      </c>
      <c r="H145" s="72"/>
      <c r="I145" s="73">
        <v>99000</v>
      </c>
      <c r="J145" s="74"/>
      <c r="K145" s="75">
        <f>I145*G145</f>
        <v>39600000</v>
      </c>
      <c r="L145" s="305"/>
      <c r="M145" s="305"/>
      <c r="N145" s="305"/>
      <c r="O145" s="151"/>
      <c r="P145" s="122"/>
    </row>
    <row r="146" spans="1:16" ht="130.5" customHeight="1" x14ac:dyDescent="0.25">
      <c r="B146" s="43"/>
      <c r="C146" s="69" t="s">
        <v>153</v>
      </c>
      <c r="D146" s="51" t="s">
        <v>11</v>
      </c>
      <c r="E146" s="43">
        <v>1</v>
      </c>
      <c r="F146" s="43">
        <v>111</v>
      </c>
      <c r="G146" s="45">
        <f>1070.2-G145</f>
        <v>670.2</v>
      </c>
      <c r="H146" s="46"/>
      <c r="I146" s="47">
        <v>50000</v>
      </c>
      <c r="J146" s="48"/>
      <c r="K146" s="28">
        <f>I146*G146</f>
        <v>33510000.000000004</v>
      </c>
      <c r="L146" s="302"/>
      <c r="M146" s="302"/>
      <c r="N146" s="302"/>
      <c r="O146" s="148"/>
    </row>
    <row r="147" spans="1:16" ht="134.25" customHeight="1" x14ac:dyDescent="0.25">
      <c r="B147" s="43"/>
      <c r="C147" s="69" t="s">
        <v>153</v>
      </c>
      <c r="D147" s="51" t="s">
        <v>11</v>
      </c>
      <c r="E147" s="43">
        <v>1</v>
      </c>
      <c r="F147" s="43">
        <v>110</v>
      </c>
      <c r="G147" s="110">
        <v>385.4</v>
      </c>
      <c r="H147" s="111"/>
      <c r="I147" s="47">
        <v>50000</v>
      </c>
      <c r="J147" s="48"/>
      <c r="K147" s="28">
        <f>I147*G147</f>
        <v>19270000</v>
      </c>
      <c r="L147" s="302"/>
      <c r="M147" s="302"/>
      <c r="N147" s="302"/>
      <c r="O147" s="148"/>
    </row>
    <row r="148" spans="1:16" ht="78.75" customHeight="1" x14ac:dyDescent="0.25">
      <c r="B148" s="43"/>
      <c r="C148" s="265" t="s">
        <v>214</v>
      </c>
      <c r="D148" s="265"/>
      <c r="E148" s="265"/>
      <c r="F148" s="265"/>
      <c r="G148" s="265"/>
      <c r="H148" s="265"/>
      <c r="I148" s="265"/>
      <c r="J148" s="265"/>
      <c r="K148" s="265"/>
      <c r="L148" s="310"/>
      <c r="M148" s="310"/>
      <c r="N148" s="310"/>
      <c r="O148" s="156"/>
    </row>
    <row r="149" spans="1:16" customFormat="1" ht="39.75" customHeight="1" x14ac:dyDescent="0.25">
      <c r="A149" s="122"/>
      <c r="B149" s="80" t="s">
        <v>7</v>
      </c>
      <c r="C149" s="81" t="s">
        <v>14</v>
      </c>
      <c r="D149" s="80"/>
      <c r="E149" s="80"/>
      <c r="F149" s="80"/>
      <c r="G149" s="82"/>
      <c r="H149" s="83"/>
      <c r="I149" s="84"/>
      <c r="J149" s="85"/>
      <c r="K149" s="86">
        <f>SUM(K151:K178)</f>
        <v>398256609.38903081</v>
      </c>
      <c r="L149" s="307"/>
      <c r="M149" s="307"/>
      <c r="N149" s="307"/>
      <c r="O149" s="153"/>
      <c r="P149" s="122"/>
    </row>
    <row r="150" spans="1:16" ht="81.75" customHeight="1" x14ac:dyDescent="0.25">
      <c r="B150" s="43" t="s">
        <v>223</v>
      </c>
      <c r="C150" s="69" t="s">
        <v>189</v>
      </c>
      <c r="D150" s="43" t="s">
        <v>11</v>
      </c>
      <c r="E150" s="43"/>
      <c r="F150" s="43"/>
      <c r="G150" s="45">
        <f>4.3*3.3</f>
        <v>14.19</v>
      </c>
      <c r="H150" s="46"/>
      <c r="I150" s="47"/>
      <c r="J150" s="48"/>
      <c r="K150" s="28"/>
      <c r="L150" s="302"/>
      <c r="M150" s="302"/>
      <c r="N150" s="302"/>
      <c r="O150" s="148"/>
    </row>
    <row r="151" spans="1:16" ht="48" customHeight="1" x14ac:dyDescent="0.25">
      <c r="B151" s="43" t="s">
        <v>222</v>
      </c>
      <c r="C151" s="52" t="s">
        <v>190</v>
      </c>
      <c r="D151" s="54" t="s">
        <v>41</v>
      </c>
      <c r="E151" s="54"/>
      <c r="F151" s="54"/>
      <c r="G151" s="55">
        <f>(((4.3+3.3)*2)-0.8)*2.5/1.7</f>
        <v>21.176470588235293</v>
      </c>
      <c r="H151" s="56"/>
      <c r="I151" s="57">
        <v>1162900</v>
      </c>
      <c r="J151" s="58"/>
      <c r="K151" s="59">
        <f t="shared" ref="K151:K155" si="14">I151*G151</f>
        <v>24626117.647058822</v>
      </c>
      <c r="L151" s="303"/>
      <c r="M151" s="303"/>
      <c r="N151" s="303"/>
      <c r="O151" s="148"/>
    </row>
    <row r="152" spans="1:16" ht="23.25" customHeight="1" x14ac:dyDescent="0.25">
      <c r="B152" s="43" t="s">
        <v>222</v>
      </c>
      <c r="C152" s="52" t="s">
        <v>191</v>
      </c>
      <c r="D152" s="54" t="s">
        <v>46</v>
      </c>
      <c r="E152" s="54"/>
      <c r="F152" s="54"/>
      <c r="G152" s="55">
        <f>(((4.3+3.3)*2)-0.8)*2.5</f>
        <v>36</v>
      </c>
      <c r="H152" s="56"/>
      <c r="I152" s="57">
        <v>251000</v>
      </c>
      <c r="J152" s="58"/>
      <c r="K152" s="59">
        <f t="shared" si="14"/>
        <v>9036000</v>
      </c>
      <c r="L152" s="303"/>
      <c r="M152" s="303"/>
      <c r="N152" s="303"/>
      <c r="O152" s="148"/>
    </row>
    <row r="153" spans="1:16" ht="27" customHeight="1" x14ac:dyDescent="0.25">
      <c r="B153" s="43" t="s">
        <v>222</v>
      </c>
      <c r="C153" s="52" t="s">
        <v>192</v>
      </c>
      <c r="D153" s="54" t="s">
        <v>46</v>
      </c>
      <c r="E153" s="54"/>
      <c r="F153" s="54"/>
      <c r="G153" s="55">
        <f>4.3*3.3</f>
        <v>14.19</v>
      </c>
      <c r="H153" s="56"/>
      <c r="I153" s="57">
        <v>60200</v>
      </c>
      <c r="J153" s="58"/>
      <c r="K153" s="59">
        <f t="shared" si="14"/>
        <v>854238</v>
      </c>
      <c r="L153" s="303"/>
      <c r="M153" s="303"/>
      <c r="N153" s="303"/>
      <c r="O153" s="148"/>
    </row>
    <row r="154" spans="1:16" ht="27.75" customHeight="1" x14ac:dyDescent="0.25">
      <c r="B154" s="43" t="s">
        <v>222</v>
      </c>
      <c r="C154" s="52" t="s">
        <v>221</v>
      </c>
      <c r="D154" s="54" t="s">
        <v>46</v>
      </c>
      <c r="E154" s="54"/>
      <c r="F154" s="54"/>
      <c r="G154" s="55">
        <f>4.3*3.3</f>
        <v>14.19</v>
      </c>
      <c r="H154" s="56"/>
      <c r="I154" s="57">
        <v>134500</v>
      </c>
      <c r="J154" s="58"/>
      <c r="K154" s="59">
        <f t="shared" si="14"/>
        <v>1908555</v>
      </c>
      <c r="L154" s="303"/>
      <c r="M154" s="303"/>
      <c r="N154" s="303"/>
      <c r="O154" s="148"/>
    </row>
    <row r="155" spans="1:16" ht="84" customHeight="1" x14ac:dyDescent="0.25">
      <c r="B155" s="43" t="s">
        <v>223</v>
      </c>
      <c r="C155" s="69" t="s">
        <v>63</v>
      </c>
      <c r="D155" s="43" t="s">
        <v>17</v>
      </c>
      <c r="E155" s="43"/>
      <c r="F155" s="43"/>
      <c r="G155" s="45">
        <f>2*2*1.2</f>
        <v>4.8</v>
      </c>
      <c r="H155" s="46"/>
      <c r="I155" s="47">
        <v>1771600</v>
      </c>
      <c r="J155" s="48"/>
      <c r="K155" s="28">
        <f t="shared" si="14"/>
        <v>8503680</v>
      </c>
      <c r="L155" s="302"/>
      <c r="M155" s="302"/>
      <c r="N155" s="302"/>
      <c r="O155" s="248" t="s">
        <v>282</v>
      </c>
    </row>
    <row r="156" spans="1:16" ht="32.25" customHeight="1" x14ac:dyDescent="0.25">
      <c r="B156" s="43" t="s">
        <v>223</v>
      </c>
      <c r="C156" s="69" t="s">
        <v>53</v>
      </c>
      <c r="D156" s="51" t="s">
        <v>11</v>
      </c>
      <c r="E156" s="43"/>
      <c r="F156" s="43"/>
      <c r="G156" s="45">
        <f>10.2*5.2</f>
        <v>53.04</v>
      </c>
      <c r="H156" s="46"/>
      <c r="I156" s="47">
        <v>613700</v>
      </c>
      <c r="J156" s="48"/>
      <c r="K156" s="28">
        <f t="shared" ref="K156:K157" si="15">I156*G156</f>
        <v>32550648</v>
      </c>
      <c r="L156" s="302"/>
      <c r="M156" s="302"/>
      <c r="N156" s="302"/>
      <c r="O156" s="148"/>
    </row>
    <row r="157" spans="1:16" ht="93.75" customHeight="1" x14ac:dyDescent="0.25">
      <c r="B157" s="43" t="s">
        <v>223</v>
      </c>
      <c r="C157" s="69" t="s">
        <v>65</v>
      </c>
      <c r="D157" s="43" t="s">
        <v>11</v>
      </c>
      <c r="E157" s="43"/>
      <c r="F157" s="43"/>
      <c r="G157" s="45">
        <f>4.2*4.2</f>
        <v>17.64</v>
      </c>
      <c r="H157" s="46"/>
      <c r="I157" s="47">
        <f>4300000</f>
        <v>4300000</v>
      </c>
      <c r="J157" s="48"/>
      <c r="K157" s="28">
        <f t="shared" si="15"/>
        <v>75852000</v>
      </c>
      <c r="L157" s="302"/>
      <c r="M157" s="302"/>
      <c r="N157" s="302"/>
      <c r="O157" s="148"/>
    </row>
    <row r="158" spans="1:16" s="9" customFormat="1" ht="24" customHeight="1" x14ac:dyDescent="0.25">
      <c r="A158" s="120"/>
      <c r="B158" s="43" t="s">
        <v>222</v>
      </c>
      <c r="C158" s="52" t="s">
        <v>52</v>
      </c>
      <c r="D158" s="70" t="s">
        <v>11</v>
      </c>
      <c r="E158" s="54"/>
      <c r="F158" s="54"/>
      <c r="G158" s="55">
        <f>2.78*1.35</f>
        <v>3.7530000000000001</v>
      </c>
      <c r="H158" s="56"/>
      <c r="I158" s="57">
        <v>-4500000</v>
      </c>
      <c r="J158" s="58"/>
      <c r="K158" s="59">
        <f>I158*G158</f>
        <v>-16888500</v>
      </c>
      <c r="L158" s="303"/>
      <c r="M158" s="303"/>
      <c r="N158" s="303"/>
      <c r="O158" s="149"/>
      <c r="P158" s="120"/>
    </row>
    <row r="159" spans="1:16" s="9" customFormat="1" ht="21" customHeight="1" x14ac:dyDescent="0.25">
      <c r="A159" s="120"/>
      <c r="B159" s="43" t="s">
        <v>222</v>
      </c>
      <c r="C159" s="52" t="s">
        <v>182</v>
      </c>
      <c r="D159" s="70" t="s">
        <v>11</v>
      </c>
      <c r="E159" s="54"/>
      <c r="F159" s="54"/>
      <c r="G159" s="55">
        <f>3*2.9</f>
        <v>8.6999999999999993</v>
      </c>
      <c r="H159" s="56"/>
      <c r="I159" s="57">
        <f>-450000</f>
        <v>-450000</v>
      </c>
      <c r="J159" s="58"/>
      <c r="K159" s="59">
        <f>I159*G159</f>
        <v>-3914999.9999999995</v>
      </c>
      <c r="L159" s="303"/>
      <c r="M159" s="303"/>
      <c r="N159" s="303"/>
      <c r="O159" s="149"/>
      <c r="P159" s="120"/>
    </row>
    <row r="160" spans="1:16" s="9" customFormat="1" ht="30" customHeight="1" x14ac:dyDescent="0.25">
      <c r="A160" s="120"/>
      <c r="B160" s="43" t="s">
        <v>222</v>
      </c>
      <c r="C160" s="52" t="s">
        <v>66</v>
      </c>
      <c r="D160" s="43" t="s">
        <v>11</v>
      </c>
      <c r="E160" s="54"/>
      <c r="F160" s="54"/>
      <c r="G160" s="55">
        <f>(4.2*2*3.7)*0.1</f>
        <v>3.1080000000000005</v>
      </c>
      <c r="H160" s="56"/>
      <c r="I160" s="57">
        <v>-1297815</v>
      </c>
      <c r="J160" s="58"/>
      <c r="K160" s="59">
        <f t="shared" ref="K160" si="16">I160*G160</f>
        <v>-4033609.0200000005</v>
      </c>
      <c r="L160" s="303"/>
      <c r="M160" s="303"/>
      <c r="N160" s="303"/>
      <c r="O160" s="149"/>
      <c r="P160" s="120"/>
    </row>
    <row r="161" spans="1:16" s="9" customFormat="1" ht="23.25" customHeight="1" x14ac:dyDescent="0.25">
      <c r="A161" s="120"/>
      <c r="B161" s="43" t="s">
        <v>222</v>
      </c>
      <c r="C161" s="52" t="s">
        <v>47</v>
      </c>
      <c r="D161" s="43" t="s">
        <v>11</v>
      </c>
      <c r="E161" s="54"/>
      <c r="F161" s="54"/>
      <c r="G161" s="55">
        <f>4.2*4.2</f>
        <v>17.64</v>
      </c>
      <c r="H161" s="56"/>
      <c r="I161" s="57">
        <v>-90900</v>
      </c>
      <c r="J161" s="58"/>
      <c r="K161" s="59">
        <f>I161*G161</f>
        <v>-1603476</v>
      </c>
      <c r="L161" s="303"/>
      <c r="M161" s="303"/>
      <c r="N161" s="303"/>
      <c r="O161" s="149"/>
      <c r="P161" s="120"/>
    </row>
    <row r="162" spans="1:16" ht="97.5" customHeight="1" x14ac:dyDescent="0.25">
      <c r="B162" s="43" t="s">
        <v>223</v>
      </c>
      <c r="C162" s="69" t="s">
        <v>64</v>
      </c>
      <c r="D162" s="51" t="s">
        <v>11</v>
      </c>
      <c r="E162" s="43"/>
      <c r="F162" s="43"/>
      <c r="G162" s="45">
        <f>7.2*9.2</f>
        <v>66.239999999999995</v>
      </c>
      <c r="H162" s="46"/>
      <c r="I162" s="47">
        <f>4300000</f>
        <v>4300000</v>
      </c>
      <c r="J162" s="48"/>
      <c r="K162" s="28">
        <f>I162*G162</f>
        <v>284832000</v>
      </c>
      <c r="L162" s="302"/>
      <c r="M162" s="302"/>
      <c r="N162" s="302"/>
      <c r="O162" s="148"/>
    </row>
    <row r="163" spans="1:16" s="9" customFormat="1" ht="26.25" customHeight="1" x14ac:dyDescent="0.25">
      <c r="A163" s="120"/>
      <c r="B163" s="54" t="s">
        <v>222</v>
      </c>
      <c r="C163" s="52" t="s">
        <v>52</v>
      </c>
      <c r="D163" s="60" t="s">
        <v>46</v>
      </c>
      <c r="E163" s="54"/>
      <c r="F163" s="54"/>
      <c r="G163" s="55">
        <f>2.78*1.35</f>
        <v>3.7530000000000001</v>
      </c>
      <c r="H163" s="56"/>
      <c r="I163" s="57">
        <v>-4500000</v>
      </c>
      <c r="J163" s="58"/>
      <c r="K163" s="59">
        <f t="shared" ref="K163:K169" si="17">I163*G163</f>
        <v>-16888500</v>
      </c>
      <c r="L163" s="303"/>
      <c r="M163" s="303"/>
      <c r="N163" s="303"/>
      <c r="O163" s="149"/>
      <c r="P163" s="120"/>
    </row>
    <row r="164" spans="1:16" s="9" customFormat="1" ht="26.25" customHeight="1" x14ac:dyDescent="0.25">
      <c r="A164" s="120"/>
      <c r="B164" s="54" t="s">
        <v>222</v>
      </c>
      <c r="C164" s="52" t="s">
        <v>182</v>
      </c>
      <c r="D164" s="70" t="s">
        <v>11</v>
      </c>
      <c r="E164" s="54"/>
      <c r="F164" s="54"/>
      <c r="G164" s="55">
        <f>3*2.9</f>
        <v>8.6999999999999993</v>
      </c>
      <c r="H164" s="56"/>
      <c r="I164" s="57">
        <f>-450000</f>
        <v>-450000</v>
      </c>
      <c r="J164" s="58"/>
      <c r="K164" s="59">
        <f>I164*G164</f>
        <v>-3914999.9999999995</v>
      </c>
      <c r="L164" s="303"/>
      <c r="M164" s="303"/>
      <c r="N164" s="303"/>
      <c r="O164" s="149"/>
      <c r="P164" s="120"/>
    </row>
    <row r="165" spans="1:16" s="9" customFormat="1" ht="26.25" customHeight="1" x14ac:dyDescent="0.25">
      <c r="A165" s="120"/>
      <c r="B165" s="54" t="s">
        <v>222</v>
      </c>
      <c r="C165" s="52" t="s">
        <v>47</v>
      </c>
      <c r="D165" s="54"/>
      <c r="E165" s="54"/>
      <c r="F165" s="54"/>
      <c r="G165" s="55">
        <f>7*9</f>
        <v>63</v>
      </c>
      <c r="H165" s="56"/>
      <c r="I165" s="57">
        <v>-90900</v>
      </c>
      <c r="J165" s="58"/>
      <c r="K165" s="59">
        <f t="shared" si="17"/>
        <v>-5726700</v>
      </c>
      <c r="L165" s="303"/>
      <c r="M165" s="303"/>
      <c r="N165" s="303"/>
      <c r="O165" s="149"/>
      <c r="P165" s="120"/>
    </row>
    <row r="166" spans="1:16" s="9" customFormat="1" ht="38.25" customHeight="1" x14ac:dyDescent="0.25">
      <c r="A166" s="120"/>
      <c r="B166" s="54" t="s">
        <v>222</v>
      </c>
      <c r="C166" s="52" t="s">
        <v>66</v>
      </c>
      <c r="D166" s="54" t="s">
        <v>17</v>
      </c>
      <c r="E166" s="54"/>
      <c r="F166" s="54"/>
      <c r="G166" s="55">
        <f>(7.2*2*4.2)*0.1</f>
        <v>6.0480000000000009</v>
      </c>
      <c r="H166" s="56"/>
      <c r="I166" s="57">
        <v>-1297815</v>
      </c>
      <c r="J166" s="58"/>
      <c r="K166" s="59">
        <f t="shared" si="17"/>
        <v>-7849185.120000001</v>
      </c>
      <c r="L166" s="303"/>
      <c r="M166" s="303"/>
      <c r="N166" s="303"/>
      <c r="O166" s="149"/>
      <c r="P166" s="120"/>
    </row>
    <row r="167" spans="1:16" s="9" customFormat="1" ht="34.5" customHeight="1" x14ac:dyDescent="0.25">
      <c r="A167" s="120"/>
      <c r="B167" s="54" t="s">
        <v>222</v>
      </c>
      <c r="C167" s="52" t="s">
        <v>62</v>
      </c>
      <c r="D167" s="54" t="s">
        <v>46</v>
      </c>
      <c r="E167" s="54"/>
      <c r="F167" s="54"/>
      <c r="G167" s="55">
        <f>7.2*9.2*2*4.2</f>
        <v>556.41599999999994</v>
      </c>
      <c r="H167" s="56"/>
      <c r="I167" s="57">
        <v>-10900</v>
      </c>
      <c r="J167" s="58"/>
      <c r="K167" s="59">
        <f t="shared" si="17"/>
        <v>-6064934.3999999994</v>
      </c>
      <c r="L167" s="303"/>
      <c r="M167" s="303"/>
      <c r="N167" s="303"/>
      <c r="O167" s="149"/>
      <c r="P167" s="120"/>
    </row>
    <row r="168" spans="1:16" s="9" customFormat="1" ht="34.5" customHeight="1" x14ac:dyDescent="0.25">
      <c r="A168" s="120"/>
      <c r="B168" s="54" t="s">
        <v>222</v>
      </c>
      <c r="C168" s="52" t="s">
        <v>61</v>
      </c>
      <c r="D168" s="54" t="s">
        <v>46</v>
      </c>
      <c r="E168" s="54"/>
      <c r="F168" s="54"/>
      <c r="G168" s="55">
        <f>G167</f>
        <v>556.41599999999994</v>
      </c>
      <c r="H168" s="56"/>
      <c r="I168" s="57">
        <v>-10900</v>
      </c>
      <c r="J168" s="58"/>
      <c r="K168" s="59">
        <f t="shared" si="17"/>
        <v>-6064934.3999999994</v>
      </c>
      <c r="L168" s="303"/>
      <c r="M168" s="303"/>
      <c r="N168" s="303"/>
      <c r="O168" s="149"/>
      <c r="P168" s="120"/>
    </row>
    <row r="169" spans="1:16" ht="54.75" customHeight="1" x14ac:dyDescent="0.25">
      <c r="B169" s="43" t="s">
        <v>223</v>
      </c>
      <c r="C169" s="69" t="s">
        <v>169</v>
      </c>
      <c r="D169" s="43" t="s">
        <v>11</v>
      </c>
      <c r="E169" s="43"/>
      <c r="F169" s="43"/>
      <c r="G169" s="45">
        <v>17.7</v>
      </c>
      <c r="H169" s="46"/>
      <c r="I169" s="47">
        <f>1.2/1.7*815000</f>
        <v>575294.11764705891</v>
      </c>
      <c r="J169" s="48"/>
      <c r="K169" s="28">
        <f t="shared" si="17"/>
        <v>10182705.882352943</v>
      </c>
      <c r="L169" s="302"/>
      <c r="M169" s="302"/>
      <c r="N169" s="302"/>
      <c r="O169" s="148"/>
    </row>
    <row r="170" spans="1:16" ht="40.5" customHeight="1" x14ac:dyDescent="0.25">
      <c r="B170" s="43" t="s">
        <v>223</v>
      </c>
      <c r="C170" s="69" t="s">
        <v>56</v>
      </c>
      <c r="D170" s="51" t="s">
        <v>58</v>
      </c>
      <c r="E170" s="43"/>
      <c r="F170" s="43"/>
      <c r="G170" s="45">
        <v>2</v>
      </c>
      <c r="H170" s="46"/>
      <c r="I170" s="47">
        <v>2564900</v>
      </c>
      <c r="J170" s="48"/>
      <c r="K170" s="28">
        <f>I170*G170</f>
        <v>5129800</v>
      </c>
      <c r="L170" s="302"/>
      <c r="M170" s="302"/>
      <c r="N170" s="302"/>
      <c r="O170" s="148"/>
    </row>
    <row r="171" spans="1:16" ht="38.25" customHeight="1" x14ac:dyDescent="0.25">
      <c r="B171" s="43" t="s">
        <v>223</v>
      </c>
      <c r="C171" s="69" t="s">
        <v>59</v>
      </c>
      <c r="D171" s="51" t="s">
        <v>11</v>
      </c>
      <c r="E171" s="43"/>
      <c r="F171" s="43"/>
      <c r="G171" s="45">
        <f>1.5*2+1.5*2</f>
        <v>6</v>
      </c>
      <c r="H171" s="46"/>
      <c r="I171" s="47">
        <v>270000</v>
      </c>
      <c r="J171" s="48"/>
      <c r="K171" s="28">
        <f>I171*G171</f>
        <v>1620000</v>
      </c>
      <c r="L171" s="302"/>
      <c r="M171" s="302"/>
      <c r="N171" s="302"/>
      <c r="O171" s="148"/>
    </row>
    <row r="172" spans="1:16" ht="41.25" customHeight="1" x14ac:dyDescent="0.25">
      <c r="B172" s="262" t="s">
        <v>223</v>
      </c>
      <c r="C172" s="69" t="s">
        <v>285</v>
      </c>
      <c r="D172" s="43" t="s">
        <v>11</v>
      </c>
      <c r="E172" s="43"/>
      <c r="F172" s="43"/>
      <c r="G172" s="45"/>
      <c r="H172" s="46"/>
      <c r="I172" s="47"/>
      <c r="J172" s="48"/>
      <c r="K172" s="28"/>
      <c r="L172" s="302"/>
      <c r="M172" s="302"/>
      <c r="N172" s="302"/>
      <c r="O172" s="148"/>
    </row>
    <row r="173" spans="1:16" ht="41.25" customHeight="1" x14ac:dyDescent="0.25">
      <c r="B173" s="263"/>
      <c r="C173" s="52" t="s">
        <v>283</v>
      </c>
      <c r="D173" s="54" t="s">
        <v>284</v>
      </c>
      <c r="E173" s="54"/>
      <c r="F173" s="54"/>
      <c r="G173" s="55">
        <f>0.11*1.2*6</f>
        <v>0.79200000000000004</v>
      </c>
      <c r="H173" s="56"/>
      <c r="I173" s="57">
        <v>1947006</v>
      </c>
      <c r="J173" s="58"/>
      <c r="K173" s="59">
        <f t="shared" ref="K173:K174" si="18">I173*G173</f>
        <v>1542028.7520000001</v>
      </c>
      <c r="L173" s="303"/>
      <c r="M173" s="303"/>
      <c r="N173" s="303"/>
      <c r="O173" s="148"/>
    </row>
    <row r="174" spans="1:16" ht="41.25" customHeight="1" x14ac:dyDescent="0.25">
      <c r="B174" s="264"/>
      <c r="C174" s="52" t="s">
        <v>286</v>
      </c>
      <c r="D174" s="54" t="s">
        <v>41</v>
      </c>
      <c r="E174" s="54"/>
      <c r="F174" s="54"/>
      <c r="G174" s="55">
        <f>6*1/1.4</f>
        <v>4.2857142857142856</v>
      </c>
      <c r="H174" s="56"/>
      <c r="I174" s="57">
        <v>358700</v>
      </c>
      <c r="J174" s="58"/>
      <c r="K174" s="59">
        <f t="shared" si="18"/>
        <v>1537285.7142857143</v>
      </c>
      <c r="L174" s="303"/>
      <c r="M174" s="303"/>
      <c r="N174" s="303"/>
      <c r="O174" s="148"/>
    </row>
    <row r="175" spans="1:16" ht="54.75" customHeight="1" x14ac:dyDescent="0.25">
      <c r="B175" s="43" t="s">
        <v>223</v>
      </c>
      <c r="C175" s="69" t="s">
        <v>160</v>
      </c>
      <c r="D175" s="43" t="s">
        <v>11</v>
      </c>
      <c r="E175" s="43"/>
      <c r="F175" s="43"/>
      <c r="G175" s="45">
        <f>4.6*3</f>
        <v>13.799999999999999</v>
      </c>
      <c r="H175" s="46"/>
      <c r="I175" s="47">
        <v>173400</v>
      </c>
      <c r="J175" s="48"/>
      <c r="K175" s="28">
        <f>I175*G175</f>
        <v>2392920</v>
      </c>
      <c r="L175" s="302"/>
      <c r="M175" s="302"/>
      <c r="N175" s="302"/>
      <c r="O175" s="148"/>
    </row>
    <row r="176" spans="1:16" ht="48" customHeight="1" x14ac:dyDescent="0.25">
      <c r="B176" s="43" t="s">
        <v>223</v>
      </c>
      <c r="C176" s="69" t="s">
        <v>149</v>
      </c>
      <c r="D176" s="51" t="s">
        <v>11</v>
      </c>
      <c r="E176" s="43"/>
      <c r="F176" s="43"/>
      <c r="G176" s="45">
        <f>3.3*3.1</f>
        <v>10.23</v>
      </c>
      <c r="H176" s="46"/>
      <c r="I176" s="47">
        <f>225100</f>
        <v>225100</v>
      </c>
      <c r="J176" s="48"/>
      <c r="K176" s="28">
        <f>I176*G176</f>
        <v>2302773</v>
      </c>
      <c r="L176" s="302"/>
      <c r="M176" s="302"/>
      <c r="N176" s="302"/>
      <c r="O176" s="148"/>
    </row>
    <row r="177" spans="1:16" ht="48" customHeight="1" x14ac:dyDescent="0.25">
      <c r="B177" s="43" t="s">
        <v>223</v>
      </c>
      <c r="C177" s="69" t="s">
        <v>161</v>
      </c>
      <c r="D177" s="51" t="s">
        <v>11</v>
      </c>
      <c r="E177" s="43"/>
      <c r="F177" s="43"/>
      <c r="G177" s="45">
        <f>4.1*7.3</f>
        <v>29.929999999999996</v>
      </c>
      <c r="H177" s="46"/>
      <c r="I177" s="47">
        <f>225100</f>
        <v>225100</v>
      </c>
      <c r="J177" s="48"/>
      <c r="K177" s="28">
        <f>I177*G177</f>
        <v>6737242.9999999991</v>
      </c>
      <c r="L177" s="302"/>
      <c r="M177" s="302"/>
      <c r="N177" s="302"/>
      <c r="O177" s="148"/>
    </row>
    <row r="178" spans="1:16" ht="33.75" customHeight="1" x14ac:dyDescent="0.25">
      <c r="B178" s="43" t="s">
        <v>223</v>
      </c>
      <c r="C178" s="69" t="s">
        <v>57</v>
      </c>
      <c r="D178" s="43" t="s">
        <v>41</v>
      </c>
      <c r="E178" s="43"/>
      <c r="F178" s="43"/>
      <c r="G178" s="45">
        <f>8.2*(1.2/1.8)</f>
        <v>5.4666666666666659</v>
      </c>
      <c r="H178" s="46"/>
      <c r="I178" s="47">
        <f>292400</f>
        <v>292400</v>
      </c>
      <c r="J178" s="48"/>
      <c r="K178" s="28">
        <f>I178*G178</f>
        <v>1598453.333333333</v>
      </c>
      <c r="L178" s="302"/>
      <c r="M178" s="302"/>
      <c r="N178" s="302"/>
      <c r="O178" s="148"/>
    </row>
    <row r="179" spans="1:16" ht="31.5" x14ac:dyDescent="0.25">
      <c r="B179" s="29" t="s">
        <v>8</v>
      </c>
      <c r="C179" s="30" t="s">
        <v>10</v>
      </c>
      <c r="D179" s="29"/>
      <c r="E179" s="29"/>
      <c r="F179" s="29"/>
      <c r="G179" s="31"/>
      <c r="H179" s="32"/>
      <c r="I179" s="49"/>
      <c r="J179" s="34"/>
      <c r="K179" s="35">
        <f>SUM(K180:K191)</f>
        <v>25320241.799999997</v>
      </c>
      <c r="L179" s="300"/>
      <c r="M179" s="300"/>
      <c r="N179" s="300"/>
      <c r="O179" s="146"/>
    </row>
    <row r="180" spans="1:16" ht="20.25" customHeight="1" x14ac:dyDescent="0.25">
      <c r="B180" s="43"/>
      <c r="C180" s="69" t="s">
        <v>27</v>
      </c>
      <c r="D180" s="43" t="s">
        <v>49</v>
      </c>
      <c r="E180" s="43"/>
      <c r="F180" s="43"/>
      <c r="G180" s="45">
        <v>5</v>
      </c>
      <c r="H180" s="46">
        <f>14.292*4</f>
        <v>57.167999999999999</v>
      </c>
      <c r="I180" s="47">
        <v>15400</v>
      </c>
      <c r="J180" s="48">
        <v>0.7</v>
      </c>
      <c r="K180" s="28">
        <f>J180*I180*H180*G180</f>
        <v>3081355.2</v>
      </c>
      <c r="L180" s="302"/>
      <c r="M180" s="302"/>
      <c r="N180" s="302"/>
      <c r="O180" s="148"/>
    </row>
    <row r="181" spans="1:16" ht="20.25" customHeight="1" x14ac:dyDescent="0.25">
      <c r="B181" s="43"/>
      <c r="C181" s="69" t="s">
        <v>28</v>
      </c>
      <c r="D181" s="43" t="s">
        <v>49</v>
      </c>
      <c r="E181" s="43"/>
      <c r="F181" s="43"/>
      <c r="G181" s="45">
        <v>25</v>
      </c>
      <c r="H181" s="46">
        <v>10.298999999999999</v>
      </c>
      <c r="I181" s="47">
        <v>6200</v>
      </c>
      <c r="J181" s="48">
        <v>0.7</v>
      </c>
      <c r="K181" s="28">
        <f>J181*I181*H181*G181</f>
        <v>1117441.5</v>
      </c>
      <c r="L181" s="302"/>
      <c r="M181" s="302"/>
      <c r="N181" s="302"/>
      <c r="O181" s="148"/>
    </row>
    <row r="182" spans="1:16" customFormat="1" ht="20.25" customHeight="1" x14ac:dyDescent="0.25">
      <c r="A182" s="122"/>
      <c r="B182" s="70"/>
      <c r="C182" s="50" t="s">
        <v>29</v>
      </c>
      <c r="D182" s="43" t="s">
        <v>49</v>
      </c>
      <c r="E182" s="70"/>
      <c r="F182" s="70"/>
      <c r="G182" s="71">
        <v>10</v>
      </c>
      <c r="H182" s="72">
        <v>0.90400000000000003</v>
      </c>
      <c r="I182" s="73">
        <v>7900</v>
      </c>
      <c r="J182" s="74">
        <v>0.7</v>
      </c>
      <c r="K182" s="75">
        <f>J182*I182*H182*G182</f>
        <v>49991.199999999997</v>
      </c>
      <c r="L182" s="305"/>
      <c r="M182" s="305"/>
      <c r="N182" s="305"/>
      <c r="O182" s="151"/>
      <c r="P182" s="122"/>
    </row>
    <row r="183" spans="1:16" ht="20.25" customHeight="1" x14ac:dyDescent="0.25">
      <c r="B183" s="43"/>
      <c r="C183" s="69" t="s">
        <v>30</v>
      </c>
      <c r="D183" s="43" t="s">
        <v>49</v>
      </c>
      <c r="E183" s="43"/>
      <c r="F183" s="43"/>
      <c r="G183" s="45">
        <v>5</v>
      </c>
      <c r="H183" s="46">
        <v>11.016999999999999</v>
      </c>
      <c r="I183" s="47">
        <v>6600</v>
      </c>
      <c r="J183" s="48">
        <v>0.7</v>
      </c>
      <c r="K183" s="28">
        <f>J183*I183*H183*G183</f>
        <v>254492.7</v>
      </c>
      <c r="L183" s="302"/>
      <c r="M183" s="302"/>
      <c r="N183" s="302"/>
      <c r="O183" s="148"/>
    </row>
    <row r="184" spans="1:16" customFormat="1" ht="20.25" customHeight="1" x14ac:dyDescent="0.25">
      <c r="A184" s="122"/>
      <c r="B184" s="70"/>
      <c r="C184" s="50" t="s">
        <v>31</v>
      </c>
      <c r="D184" s="43" t="s">
        <v>49</v>
      </c>
      <c r="E184" s="70"/>
      <c r="F184" s="70"/>
      <c r="G184" s="71">
        <v>5</v>
      </c>
      <c r="H184" s="72">
        <f>19.006*21</f>
        <v>399.12599999999998</v>
      </c>
      <c r="I184" s="73">
        <v>11000</v>
      </c>
      <c r="J184" s="74">
        <v>0.7</v>
      </c>
      <c r="K184" s="75">
        <f>J184*I184*H184*G184</f>
        <v>15366350.999999996</v>
      </c>
      <c r="L184" s="305"/>
      <c r="M184" s="305"/>
      <c r="N184" s="305"/>
      <c r="O184" s="151"/>
      <c r="P184" s="122"/>
    </row>
    <row r="185" spans="1:16" ht="20.25" customHeight="1" x14ac:dyDescent="0.25">
      <c r="B185" s="43"/>
      <c r="C185" s="69" t="s">
        <v>32</v>
      </c>
      <c r="D185" s="43" t="s">
        <v>49</v>
      </c>
      <c r="E185" s="43"/>
      <c r="F185" s="43"/>
      <c r="G185" s="45">
        <v>1</v>
      </c>
      <c r="H185" s="46">
        <f>5.128*10</f>
        <v>51.28</v>
      </c>
      <c r="I185" s="47">
        <v>3100</v>
      </c>
      <c r="J185" s="48">
        <v>0.7</v>
      </c>
      <c r="K185" s="28">
        <f t="shared" ref="K185:K186" si="19">J185*I185*H185*G185</f>
        <v>111277.6</v>
      </c>
      <c r="L185" s="302"/>
      <c r="M185" s="302"/>
      <c r="N185" s="302"/>
      <c r="O185" s="148"/>
    </row>
    <row r="186" spans="1:16" customFormat="1" ht="20.25" customHeight="1" x14ac:dyDescent="0.25">
      <c r="A186" s="122"/>
      <c r="B186" s="70"/>
      <c r="C186" s="50" t="s">
        <v>33</v>
      </c>
      <c r="D186" s="43" t="s">
        <v>49</v>
      </c>
      <c r="E186" s="70"/>
      <c r="F186" s="70"/>
      <c r="G186" s="71">
        <v>4</v>
      </c>
      <c r="H186" s="72">
        <f>15.044*10</f>
        <v>150.44</v>
      </c>
      <c r="I186" s="73">
        <v>10800</v>
      </c>
      <c r="J186" s="74">
        <v>0.7</v>
      </c>
      <c r="K186" s="75">
        <f t="shared" si="19"/>
        <v>4549305.5999999996</v>
      </c>
      <c r="L186" s="305"/>
      <c r="M186" s="305"/>
      <c r="N186" s="305"/>
      <c r="O186" s="151"/>
      <c r="P186" s="122"/>
    </row>
    <row r="187" spans="1:16" customFormat="1" ht="20.25" customHeight="1" x14ac:dyDescent="0.25">
      <c r="A187" s="122"/>
      <c r="B187" s="70"/>
      <c r="C187" s="50" t="s">
        <v>34</v>
      </c>
      <c r="D187" s="43" t="s">
        <v>49</v>
      </c>
      <c r="E187" s="70"/>
      <c r="F187" s="70"/>
      <c r="G187" s="71">
        <v>2</v>
      </c>
      <c r="H187" s="72"/>
      <c r="I187" s="73">
        <v>271100</v>
      </c>
      <c r="J187" s="74">
        <v>0.7</v>
      </c>
      <c r="K187" s="75">
        <f>J187*I187*G187</f>
        <v>379540</v>
      </c>
      <c r="L187" s="305"/>
      <c r="M187" s="305"/>
      <c r="N187" s="305"/>
      <c r="O187" s="151"/>
      <c r="P187" s="122"/>
    </row>
    <row r="188" spans="1:16" customFormat="1" ht="20.25" customHeight="1" x14ac:dyDescent="0.25">
      <c r="A188" s="122"/>
      <c r="B188" s="70"/>
      <c r="C188" s="50" t="s">
        <v>51</v>
      </c>
      <c r="D188" s="43" t="s">
        <v>49</v>
      </c>
      <c r="E188" s="70"/>
      <c r="F188" s="70"/>
      <c r="G188" s="71">
        <v>15</v>
      </c>
      <c r="H188" s="72">
        <v>1.0349999999999999</v>
      </c>
      <c r="I188" s="73">
        <v>4400</v>
      </c>
      <c r="J188" s="74">
        <v>0.7</v>
      </c>
      <c r="K188" s="75">
        <f>J188*I188*H188*G188</f>
        <v>47816.999999999993</v>
      </c>
      <c r="L188" s="305"/>
      <c r="M188" s="305"/>
      <c r="N188" s="305"/>
      <c r="O188" s="151"/>
      <c r="P188" s="122"/>
    </row>
    <row r="189" spans="1:16" customFormat="1" ht="33.75" customHeight="1" x14ac:dyDescent="0.25">
      <c r="A189" s="122"/>
      <c r="B189" s="70"/>
      <c r="C189" s="50" t="s">
        <v>35</v>
      </c>
      <c r="D189" s="43" t="s">
        <v>12</v>
      </c>
      <c r="E189" s="70"/>
      <c r="F189" s="70"/>
      <c r="G189" s="71">
        <v>1</v>
      </c>
      <c r="H189" s="72"/>
      <c r="I189" s="73">
        <v>129000</v>
      </c>
      <c r="J189" s="74">
        <v>0.7</v>
      </c>
      <c r="K189" s="75">
        <f>J189*I189*G189</f>
        <v>90300</v>
      </c>
      <c r="L189" s="305"/>
      <c r="M189" s="305"/>
      <c r="N189" s="305"/>
      <c r="O189" s="151"/>
      <c r="P189" s="122"/>
    </row>
    <row r="190" spans="1:16" ht="20.25" customHeight="1" x14ac:dyDescent="0.25">
      <c r="B190" s="43"/>
      <c r="C190" s="69" t="s">
        <v>50</v>
      </c>
      <c r="D190" s="43" t="s">
        <v>49</v>
      </c>
      <c r="E190" s="43"/>
      <c r="F190" s="43"/>
      <c r="G190" s="45">
        <v>10</v>
      </c>
      <c r="H190" s="46">
        <v>1.86</v>
      </c>
      <c r="I190" s="47">
        <v>3500</v>
      </c>
      <c r="J190" s="48">
        <v>0.7</v>
      </c>
      <c r="K190" s="28">
        <f>J190*I190*H190*G190</f>
        <v>45570</v>
      </c>
      <c r="L190" s="302"/>
      <c r="M190" s="302"/>
      <c r="N190" s="302"/>
      <c r="O190" s="148"/>
    </row>
    <row r="191" spans="1:16" customFormat="1" ht="20.25" customHeight="1" x14ac:dyDescent="0.25">
      <c r="A191" s="122"/>
      <c r="B191" s="70"/>
      <c r="C191" s="50" t="s">
        <v>36</v>
      </c>
      <c r="D191" s="43" t="s">
        <v>12</v>
      </c>
      <c r="E191" s="70"/>
      <c r="F191" s="70"/>
      <c r="G191" s="71">
        <v>5</v>
      </c>
      <c r="H191" s="72"/>
      <c r="I191" s="73">
        <v>64800</v>
      </c>
      <c r="J191" s="74">
        <v>0.7</v>
      </c>
      <c r="K191" s="75">
        <f>J191*I191*G191</f>
        <v>226800</v>
      </c>
      <c r="L191" s="305"/>
      <c r="M191" s="305"/>
      <c r="N191" s="305"/>
      <c r="O191" s="151"/>
      <c r="P191" s="122"/>
    </row>
    <row r="192" spans="1:16" ht="69" customHeight="1" x14ac:dyDescent="0.25">
      <c r="B192" s="76" t="s">
        <v>9</v>
      </c>
      <c r="C192" s="30" t="s">
        <v>13</v>
      </c>
      <c r="D192" s="77"/>
      <c r="E192" s="77"/>
      <c r="F192" s="77"/>
      <c r="G192" s="31"/>
      <c r="H192" s="32"/>
      <c r="I192" s="49"/>
      <c r="J192" s="78"/>
      <c r="K192" s="35">
        <f>SUM(K194:K195)</f>
        <v>52780000</v>
      </c>
      <c r="L192" s="300"/>
      <c r="M192" s="300"/>
      <c r="N192" s="300"/>
      <c r="O192" s="146"/>
    </row>
    <row r="193" spans="1:16" ht="95.25" customHeight="1" x14ac:dyDescent="0.25">
      <c r="B193" s="76"/>
      <c r="C193" s="138" t="s">
        <v>224</v>
      </c>
      <c r="D193" s="139"/>
      <c r="E193" s="139"/>
      <c r="F193" s="139"/>
      <c r="G193" s="140"/>
      <c r="H193" s="141"/>
      <c r="I193" s="142"/>
      <c r="J193" s="143"/>
      <c r="K193" s="35"/>
      <c r="L193" s="300"/>
      <c r="M193" s="300"/>
      <c r="N193" s="300"/>
      <c r="O193" s="146"/>
    </row>
    <row r="194" spans="1:16" ht="24.75" customHeight="1" x14ac:dyDescent="0.25">
      <c r="B194" s="76"/>
      <c r="C194" s="69" t="s">
        <v>16</v>
      </c>
      <c r="D194" s="51" t="s">
        <v>11</v>
      </c>
      <c r="E194" s="43">
        <v>1</v>
      </c>
      <c r="F194" s="43">
        <v>111</v>
      </c>
      <c r="G194" s="45">
        <f>G146</f>
        <v>670.2</v>
      </c>
      <c r="H194" s="141"/>
      <c r="I194" s="164">
        <v>50000</v>
      </c>
      <c r="J194" s="165">
        <v>1</v>
      </c>
      <c r="K194" s="28">
        <f>J194*I194*G194</f>
        <v>33510000.000000004</v>
      </c>
      <c r="L194" s="302"/>
      <c r="M194" s="302"/>
      <c r="N194" s="302"/>
      <c r="O194" s="146"/>
    </row>
    <row r="195" spans="1:16" ht="24.75" customHeight="1" x14ac:dyDescent="0.25">
      <c r="B195" s="43"/>
      <c r="C195" s="69" t="s">
        <v>16</v>
      </c>
      <c r="D195" s="51" t="s">
        <v>11</v>
      </c>
      <c r="E195" s="43">
        <v>1</v>
      </c>
      <c r="F195" s="43">
        <v>110</v>
      </c>
      <c r="G195" s="110">
        <v>385.4</v>
      </c>
      <c r="H195" s="46"/>
      <c r="I195" s="47">
        <v>50000</v>
      </c>
      <c r="J195" s="48">
        <v>1</v>
      </c>
      <c r="K195" s="28">
        <f>J195*I195*G195</f>
        <v>19270000</v>
      </c>
      <c r="L195" s="302"/>
      <c r="M195" s="302"/>
      <c r="N195" s="302"/>
      <c r="O195" s="148"/>
    </row>
    <row r="196" spans="1:16" s="4" customFormat="1" ht="21.75" customHeight="1" x14ac:dyDescent="0.25">
      <c r="A196" s="123"/>
      <c r="B196" s="29" t="s">
        <v>197</v>
      </c>
      <c r="C196" s="30" t="s">
        <v>262</v>
      </c>
      <c r="D196" s="29"/>
      <c r="E196" s="29"/>
      <c r="F196" s="29"/>
      <c r="G196" s="31"/>
      <c r="H196" s="32"/>
      <c r="I196" s="49"/>
      <c r="J196" s="78"/>
      <c r="K196" s="35"/>
      <c r="L196" s="300"/>
      <c r="M196" s="300"/>
      <c r="N196" s="300"/>
      <c r="O196" s="146"/>
      <c r="P196" s="123"/>
    </row>
    <row r="197" spans="1:16" ht="22.5" customHeight="1" x14ac:dyDescent="0.25">
      <c r="A197" s="5">
        <v>5</v>
      </c>
      <c r="B197" s="168">
        <v>5</v>
      </c>
      <c r="C197" s="169" t="s">
        <v>226</v>
      </c>
      <c r="D197" s="170"/>
      <c r="E197" s="170"/>
      <c r="F197" s="170"/>
      <c r="G197" s="171"/>
      <c r="H197" s="172"/>
      <c r="I197" s="24"/>
      <c r="J197" s="25"/>
      <c r="K197" s="26">
        <f>SUBTOTAL(9,K199,K203,K224,K248,K251)</f>
        <v>374156508</v>
      </c>
      <c r="L197" s="299"/>
      <c r="M197" s="299"/>
      <c r="N197" s="299"/>
      <c r="O197" s="145">
        <v>379427985.61999995</v>
      </c>
      <c r="P197" s="167">
        <f>K197-O197</f>
        <v>-5271477.6199999452</v>
      </c>
    </row>
    <row r="198" spans="1:16" ht="22.5" customHeight="1" x14ac:dyDescent="0.25">
      <c r="B198" s="168"/>
      <c r="C198" s="174" t="s">
        <v>225</v>
      </c>
      <c r="D198" s="170"/>
      <c r="E198" s="170"/>
      <c r="F198" s="170"/>
      <c r="G198" s="171"/>
      <c r="H198" s="172"/>
      <c r="I198" s="24"/>
      <c r="J198" s="25"/>
      <c r="K198" s="26"/>
      <c r="L198" s="299"/>
      <c r="M198" s="299"/>
      <c r="N198" s="299"/>
      <c r="O198" s="145">
        <f>K197-O197</f>
        <v>-5271477.6199999452</v>
      </c>
    </row>
    <row r="199" spans="1:16" ht="96.75" customHeight="1" x14ac:dyDescent="0.25">
      <c r="B199" s="29" t="s">
        <v>6</v>
      </c>
      <c r="C199" s="30" t="s">
        <v>215</v>
      </c>
      <c r="D199" s="29"/>
      <c r="E199" s="29"/>
      <c r="F199" s="29"/>
      <c r="G199" s="31">
        <f>SUM(G200:G201)</f>
        <v>697.3</v>
      </c>
      <c r="H199" s="32"/>
      <c r="I199" s="33"/>
      <c r="J199" s="34"/>
      <c r="K199" s="35">
        <f>SUM(K200:K201)</f>
        <v>81265000</v>
      </c>
      <c r="L199" s="300"/>
      <c r="M199" s="300"/>
      <c r="N199" s="300"/>
      <c r="O199" s="146"/>
    </row>
    <row r="200" spans="1:16" customFormat="1" ht="129" customHeight="1" x14ac:dyDescent="0.25">
      <c r="A200" s="122"/>
      <c r="B200" s="70"/>
      <c r="C200" s="50" t="s">
        <v>270</v>
      </c>
      <c r="D200" s="36" t="s">
        <v>39</v>
      </c>
      <c r="E200" s="70">
        <v>1</v>
      </c>
      <c r="F200" s="70">
        <v>121</v>
      </c>
      <c r="G200" s="79">
        <v>400</v>
      </c>
      <c r="H200" s="72"/>
      <c r="I200" s="73">
        <v>166000</v>
      </c>
      <c r="J200" s="74"/>
      <c r="K200" s="75">
        <f>I200*G200</f>
        <v>66400000</v>
      </c>
      <c r="L200" s="305"/>
      <c r="M200" s="305"/>
      <c r="N200" s="305"/>
      <c r="O200" s="151"/>
      <c r="P200" s="122"/>
    </row>
    <row r="201" spans="1:16" ht="132.75" customHeight="1" x14ac:dyDescent="0.25">
      <c r="B201" s="43"/>
      <c r="C201" s="69" t="s">
        <v>153</v>
      </c>
      <c r="D201" s="51" t="s">
        <v>11</v>
      </c>
      <c r="E201" s="43">
        <v>1</v>
      </c>
      <c r="F201" s="43">
        <v>121</v>
      </c>
      <c r="G201" s="103">
        <v>297.3</v>
      </c>
      <c r="H201" s="112"/>
      <c r="I201" s="47">
        <v>50000</v>
      </c>
      <c r="J201" s="48"/>
      <c r="K201" s="28">
        <f t="shared" ref="K201" si="20">I201*G201</f>
        <v>14865000</v>
      </c>
      <c r="L201" s="302"/>
      <c r="M201" s="302"/>
      <c r="N201" s="302"/>
      <c r="O201" s="148"/>
    </row>
    <row r="202" spans="1:16" ht="64.5" customHeight="1" x14ac:dyDescent="0.25">
      <c r="B202" s="43"/>
      <c r="C202" s="138" t="s">
        <v>176</v>
      </c>
      <c r="D202" s="138"/>
      <c r="E202" s="138"/>
      <c r="F202" s="138"/>
      <c r="G202" s="138"/>
      <c r="H202" s="138"/>
      <c r="I202" s="138"/>
      <c r="J202" s="138"/>
      <c r="K202" s="166"/>
      <c r="L202" s="312"/>
      <c r="M202" s="312"/>
      <c r="N202" s="312"/>
      <c r="O202" s="19"/>
    </row>
    <row r="203" spans="1:16" ht="36.75" customHeight="1" x14ac:dyDescent="0.25">
      <c r="B203" s="29" t="s">
        <v>7</v>
      </c>
      <c r="C203" s="30" t="s">
        <v>14</v>
      </c>
      <c r="D203" s="29"/>
      <c r="E203" s="29"/>
      <c r="F203" s="29"/>
      <c r="G203" s="31"/>
      <c r="H203" s="32"/>
      <c r="I203" s="49"/>
      <c r="J203" s="34"/>
      <c r="K203" s="35">
        <f>SUM(K204:K223)</f>
        <v>251081886</v>
      </c>
      <c r="L203" s="300"/>
      <c r="M203" s="300"/>
      <c r="N203" s="300"/>
      <c r="O203" s="146"/>
    </row>
    <row r="204" spans="1:16" ht="129" customHeight="1" x14ac:dyDescent="0.25">
      <c r="B204" s="43" t="s">
        <v>223</v>
      </c>
      <c r="C204" s="69" t="s">
        <v>236</v>
      </c>
      <c r="D204" s="51" t="s">
        <v>11</v>
      </c>
      <c r="E204" s="43"/>
      <c r="F204" s="43"/>
      <c r="G204" s="45">
        <f>7.6*10.9</f>
        <v>82.84</v>
      </c>
      <c r="H204" s="46"/>
      <c r="I204" s="47">
        <v>2132600</v>
      </c>
      <c r="J204" s="48"/>
      <c r="K204" s="28">
        <f t="shared" ref="K204:K210" si="21">I204*G204</f>
        <v>176664584</v>
      </c>
      <c r="L204" s="302"/>
      <c r="M204" s="302"/>
      <c r="N204" s="302"/>
      <c r="O204" s="148"/>
    </row>
    <row r="205" spans="1:16" s="9" customFormat="1" ht="22.5" customHeight="1" x14ac:dyDescent="0.25">
      <c r="A205" s="120"/>
      <c r="B205" s="129" t="s">
        <v>222</v>
      </c>
      <c r="C205" s="127" t="s">
        <v>183</v>
      </c>
      <c r="D205" s="128"/>
      <c r="E205" s="129"/>
      <c r="F205" s="129"/>
      <c r="G205" s="130">
        <f>7.6*10.9</f>
        <v>82.84</v>
      </c>
      <c r="H205" s="131"/>
      <c r="I205" s="132">
        <v>-224200</v>
      </c>
      <c r="J205" s="133"/>
      <c r="K205" s="183">
        <f t="shared" si="21"/>
        <v>-18572728</v>
      </c>
      <c r="L205" s="313"/>
      <c r="M205" s="313"/>
      <c r="N205" s="313"/>
      <c r="O205" s="150"/>
      <c r="P205" s="120"/>
    </row>
    <row r="206" spans="1:16" s="10" customFormat="1" ht="22.5" customHeight="1" x14ac:dyDescent="0.25">
      <c r="A206" s="125"/>
      <c r="B206" s="184" t="s">
        <v>222</v>
      </c>
      <c r="C206" s="185" t="s">
        <v>184</v>
      </c>
      <c r="D206" s="184"/>
      <c r="E206" s="184"/>
      <c r="F206" s="184"/>
      <c r="G206" s="130">
        <f>7.6*10.9</f>
        <v>82.84</v>
      </c>
      <c r="H206" s="186"/>
      <c r="I206" s="187">
        <v>-261000</v>
      </c>
      <c r="J206" s="188"/>
      <c r="K206" s="183">
        <f t="shared" si="21"/>
        <v>-21621240</v>
      </c>
      <c r="L206" s="313"/>
      <c r="M206" s="313"/>
      <c r="N206" s="313"/>
      <c r="O206" s="150"/>
      <c r="P206" s="125"/>
    </row>
    <row r="207" spans="1:16" s="9" customFormat="1" ht="35.25" customHeight="1" x14ac:dyDescent="0.25">
      <c r="A207" s="120"/>
      <c r="B207" s="129" t="s">
        <v>222</v>
      </c>
      <c r="C207" s="127" t="s">
        <v>185</v>
      </c>
      <c r="D207" s="184"/>
      <c r="E207" s="129"/>
      <c r="F207" s="129"/>
      <c r="G207" s="130">
        <f>7.6*10.9</f>
        <v>82.84</v>
      </c>
      <c r="H207" s="131"/>
      <c r="I207" s="132">
        <f>60200-153000</f>
        <v>-92800</v>
      </c>
      <c r="J207" s="133"/>
      <c r="K207" s="183">
        <f t="shared" si="21"/>
        <v>-7687552</v>
      </c>
      <c r="L207" s="313"/>
      <c r="M207" s="313"/>
      <c r="N207" s="313"/>
      <c r="O207" s="150"/>
      <c r="P207" s="120"/>
    </row>
    <row r="208" spans="1:16" s="10" customFormat="1" ht="24.75" customHeight="1" x14ac:dyDescent="0.25">
      <c r="A208" s="125"/>
      <c r="B208" s="184" t="s">
        <v>222</v>
      </c>
      <c r="C208" s="185" t="s">
        <v>186</v>
      </c>
      <c r="D208" s="184"/>
      <c r="E208" s="184"/>
      <c r="F208" s="184"/>
      <c r="G208" s="189">
        <f>7.6*10.9</f>
        <v>82.84</v>
      </c>
      <c r="H208" s="186"/>
      <c r="I208" s="187">
        <v>-90900</v>
      </c>
      <c r="J208" s="188"/>
      <c r="K208" s="190">
        <f t="shared" si="21"/>
        <v>-7530156</v>
      </c>
      <c r="L208" s="314"/>
      <c r="M208" s="314"/>
      <c r="N208" s="314"/>
      <c r="O208" s="157"/>
      <c r="P208" s="125"/>
    </row>
    <row r="209" spans="1:16" s="9" customFormat="1" ht="33.75" customHeight="1" x14ac:dyDescent="0.25">
      <c r="A209" s="120"/>
      <c r="B209" s="129" t="s">
        <v>222</v>
      </c>
      <c r="C209" s="127" t="s">
        <v>187</v>
      </c>
      <c r="D209" s="128"/>
      <c r="E209" s="129"/>
      <c r="F209" s="129"/>
      <c r="G209" s="130">
        <f>3.2*2.1</f>
        <v>6.7200000000000006</v>
      </c>
      <c r="H209" s="131"/>
      <c r="I209" s="132">
        <v>-500000</v>
      </c>
      <c r="J209" s="133"/>
      <c r="K209" s="183">
        <f t="shared" si="21"/>
        <v>-3360000.0000000005</v>
      </c>
      <c r="L209" s="313"/>
      <c r="M209" s="313"/>
      <c r="N209" s="313"/>
      <c r="O209" s="149"/>
      <c r="P209" s="120"/>
    </row>
    <row r="210" spans="1:16" s="9" customFormat="1" ht="32.25" customHeight="1" x14ac:dyDescent="0.25">
      <c r="A210" s="120"/>
      <c r="B210" s="129" t="s">
        <v>222</v>
      </c>
      <c r="C210" s="127" t="s">
        <v>188</v>
      </c>
      <c r="D210" s="128"/>
      <c r="E210" s="129"/>
      <c r="F210" s="129"/>
      <c r="G210" s="130">
        <f>3.2*2.1</f>
        <v>6.7200000000000006</v>
      </c>
      <c r="H210" s="131"/>
      <c r="I210" s="132">
        <v>270000</v>
      </c>
      <c r="J210" s="133"/>
      <c r="K210" s="183">
        <f t="shared" si="21"/>
        <v>1814400.0000000002</v>
      </c>
      <c r="L210" s="313"/>
      <c r="M210" s="313"/>
      <c r="N210" s="313"/>
      <c r="O210" s="149"/>
      <c r="P210" s="120"/>
    </row>
    <row r="211" spans="1:16" ht="36.75" customHeight="1" x14ac:dyDescent="0.25">
      <c r="B211" s="102" t="s">
        <v>223</v>
      </c>
      <c r="C211" s="101" t="s">
        <v>155</v>
      </c>
      <c r="D211" s="109" t="s">
        <v>39</v>
      </c>
      <c r="E211" s="102"/>
      <c r="F211" s="102"/>
      <c r="G211" s="103">
        <f>7.5*3.3</f>
        <v>24.75</v>
      </c>
      <c r="H211" s="104"/>
      <c r="I211" s="105">
        <f>411000</f>
        <v>411000</v>
      </c>
      <c r="J211" s="106"/>
      <c r="K211" s="107">
        <f t="shared" ref="K211:K216" si="22">I211*G211</f>
        <v>10172250</v>
      </c>
      <c r="L211" s="309"/>
      <c r="M211" s="309"/>
      <c r="N211" s="309"/>
      <c r="O211" s="148"/>
    </row>
    <row r="212" spans="1:16" ht="51.75" customHeight="1" x14ac:dyDescent="0.25">
      <c r="B212" s="54" t="s">
        <v>223</v>
      </c>
      <c r="C212" s="69" t="s">
        <v>109</v>
      </c>
      <c r="D212" s="51" t="s">
        <v>11</v>
      </c>
      <c r="E212" s="43"/>
      <c r="F212" s="43"/>
      <c r="G212" s="45">
        <f>6.6*6.6</f>
        <v>43.559999999999995</v>
      </c>
      <c r="H212" s="46"/>
      <c r="I212" s="47">
        <v>199500</v>
      </c>
      <c r="J212" s="48"/>
      <c r="K212" s="28">
        <f t="shared" si="22"/>
        <v>8690219.9999999981</v>
      </c>
      <c r="L212" s="302"/>
      <c r="M212" s="302"/>
      <c r="N212" s="302"/>
      <c r="O212" s="148" t="s">
        <v>278</v>
      </c>
    </row>
    <row r="213" spans="1:16" ht="46.5" customHeight="1" x14ac:dyDescent="0.25">
      <c r="B213" s="43" t="s">
        <v>223</v>
      </c>
      <c r="C213" s="69" t="s">
        <v>159</v>
      </c>
      <c r="D213" s="51" t="s">
        <v>11</v>
      </c>
      <c r="E213" s="43"/>
      <c r="F213" s="43"/>
      <c r="G213" s="45">
        <f>7*3.5</f>
        <v>24.5</v>
      </c>
      <c r="H213" s="46"/>
      <c r="I213" s="47">
        <v>1088500</v>
      </c>
      <c r="J213" s="48"/>
      <c r="K213" s="28">
        <f t="shared" si="22"/>
        <v>26668250</v>
      </c>
      <c r="L213" s="302"/>
      <c r="M213" s="302"/>
      <c r="N213" s="302"/>
      <c r="O213" s="148" t="s">
        <v>279</v>
      </c>
    </row>
    <row r="214" spans="1:16" ht="38.25" customHeight="1" x14ac:dyDescent="0.25">
      <c r="B214" s="70" t="s">
        <v>223</v>
      </c>
      <c r="C214" s="69" t="s">
        <v>94</v>
      </c>
      <c r="D214" s="51" t="s">
        <v>11</v>
      </c>
      <c r="E214" s="43"/>
      <c r="F214" s="43"/>
      <c r="G214" s="45">
        <f>4.3*4.5</f>
        <v>19.349999999999998</v>
      </c>
      <c r="H214" s="46"/>
      <c r="I214" s="47">
        <v>279800</v>
      </c>
      <c r="J214" s="48"/>
      <c r="K214" s="28">
        <f t="shared" si="22"/>
        <v>5414129.9999999991</v>
      </c>
      <c r="L214" s="302"/>
      <c r="M214" s="302"/>
      <c r="N214" s="302"/>
      <c r="O214" s="148"/>
    </row>
    <row r="215" spans="1:16" ht="35.25" customHeight="1" x14ac:dyDescent="0.25">
      <c r="B215" s="54" t="s">
        <v>223</v>
      </c>
      <c r="C215" s="69" t="s">
        <v>156</v>
      </c>
      <c r="D215" s="51" t="s">
        <v>11</v>
      </c>
      <c r="E215" s="43"/>
      <c r="F215" s="43"/>
      <c r="G215" s="45">
        <f>2.8*5</f>
        <v>14</v>
      </c>
      <c r="H215" s="46"/>
      <c r="I215" s="47">
        <v>279800</v>
      </c>
      <c r="J215" s="48"/>
      <c r="K215" s="28">
        <f t="shared" si="22"/>
        <v>3917200</v>
      </c>
      <c r="L215" s="302"/>
      <c r="M215" s="302"/>
      <c r="N215" s="302"/>
      <c r="O215" s="148"/>
    </row>
    <row r="216" spans="1:16" ht="65.25" customHeight="1" x14ac:dyDescent="0.25">
      <c r="B216" s="43" t="s">
        <v>223</v>
      </c>
      <c r="C216" s="69" t="s">
        <v>163</v>
      </c>
      <c r="D216" s="51" t="s">
        <v>11</v>
      </c>
      <c r="E216" s="43"/>
      <c r="F216" s="43"/>
      <c r="G216" s="45">
        <f>4*2.9</f>
        <v>11.6</v>
      </c>
      <c r="H216" s="46"/>
      <c r="I216" s="47">
        <v>950600</v>
      </c>
      <c r="J216" s="48"/>
      <c r="K216" s="28">
        <f t="shared" si="22"/>
        <v>11026960</v>
      </c>
      <c r="L216" s="302"/>
      <c r="M216" s="302"/>
      <c r="N216" s="302"/>
      <c r="O216" s="148"/>
    </row>
    <row r="217" spans="1:16" ht="34.5" customHeight="1" x14ac:dyDescent="0.25">
      <c r="B217" s="43" t="s">
        <v>223</v>
      </c>
      <c r="C217" s="69" t="s">
        <v>170</v>
      </c>
      <c r="D217" s="51" t="s">
        <v>11</v>
      </c>
      <c r="E217" s="43"/>
      <c r="F217" s="43"/>
      <c r="G217" s="45">
        <f>4.1*3</f>
        <v>12.299999999999999</v>
      </c>
      <c r="H217" s="46"/>
      <c r="I217" s="47">
        <f>411000</f>
        <v>411000</v>
      </c>
      <c r="J217" s="48"/>
      <c r="K217" s="28">
        <f>I217*G217</f>
        <v>5055300</v>
      </c>
      <c r="L217" s="302"/>
      <c r="M217" s="302"/>
      <c r="N217" s="302"/>
      <c r="O217" s="148"/>
    </row>
    <row r="218" spans="1:16" ht="27" customHeight="1" x14ac:dyDescent="0.25">
      <c r="B218" s="54" t="s">
        <v>223</v>
      </c>
      <c r="C218" s="69" t="s">
        <v>116</v>
      </c>
      <c r="D218" s="51" t="s">
        <v>11</v>
      </c>
      <c r="E218" s="43"/>
      <c r="F218" s="43"/>
      <c r="G218" s="45">
        <f>2.2*2.2</f>
        <v>4.8400000000000007</v>
      </c>
      <c r="H218" s="46"/>
      <c r="I218" s="47">
        <v>129000</v>
      </c>
      <c r="J218" s="48"/>
      <c r="K218" s="28">
        <f t="shared" ref="K218:K223" si="23">I218*G218</f>
        <v>624360.00000000012</v>
      </c>
      <c r="L218" s="302"/>
      <c r="M218" s="302"/>
      <c r="N218" s="302"/>
      <c r="O218" s="148"/>
    </row>
    <row r="219" spans="1:16" ht="50.25" customHeight="1" x14ac:dyDescent="0.25">
      <c r="B219" s="70" t="s">
        <v>223</v>
      </c>
      <c r="C219" s="69" t="s">
        <v>157</v>
      </c>
      <c r="D219" s="51"/>
      <c r="E219" s="43"/>
      <c r="F219" s="43"/>
      <c r="G219" s="45">
        <f>2.9*1.4</f>
        <v>4.0599999999999996</v>
      </c>
      <c r="H219" s="46"/>
      <c r="I219" s="47">
        <v>279800</v>
      </c>
      <c r="J219" s="48"/>
      <c r="K219" s="28">
        <f t="shared" si="23"/>
        <v>1135988</v>
      </c>
      <c r="L219" s="302"/>
      <c r="M219" s="302"/>
      <c r="N219" s="302"/>
      <c r="O219" s="148"/>
    </row>
    <row r="220" spans="1:16" ht="37.5" customHeight="1" x14ac:dyDescent="0.25">
      <c r="B220" s="70" t="s">
        <v>223</v>
      </c>
      <c r="C220" s="69" t="s">
        <v>158</v>
      </c>
      <c r="D220" s="51"/>
      <c r="E220" s="43"/>
      <c r="F220" s="43"/>
      <c r="G220" s="45">
        <f>4.3*3</f>
        <v>12.899999999999999</v>
      </c>
      <c r="H220" s="46"/>
      <c r="I220" s="47">
        <v>279800</v>
      </c>
      <c r="J220" s="48"/>
      <c r="K220" s="28">
        <f t="shared" si="23"/>
        <v>3609419.9999999995</v>
      </c>
      <c r="L220" s="302"/>
      <c r="M220" s="302"/>
      <c r="N220" s="302"/>
      <c r="O220" s="148"/>
    </row>
    <row r="221" spans="1:16" ht="34.5" customHeight="1" x14ac:dyDescent="0.25">
      <c r="B221" s="54" t="s">
        <v>223</v>
      </c>
      <c r="C221" s="69" t="s">
        <v>95</v>
      </c>
      <c r="D221" s="51"/>
      <c r="E221" s="43"/>
      <c r="F221" s="43"/>
      <c r="G221" s="45">
        <v>22</v>
      </c>
      <c r="H221" s="46"/>
      <c r="I221" s="47">
        <v>250500</v>
      </c>
      <c r="J221" s="48"/>
      <c r="K221" s="28">
        <f t="shared" si="23"/>
        <v>5511000</v>
      </c>
      <c r="L221" s="302"/>
      <c r="M221" s="302"/>
      <c r="N221" s="302"/>
      <c r="O221" s="148"/>
    </row>
    <row r="222" spans="1:16" ht="51.75" customHeight="1" x14ac:dyDescent="0.25">
      <c r="B222" s="43" t="s">
        <v>223</v>
      </c>
      <c r="C222" s="69" t="s">
        <v>115</v>
      </c>
      <c r="D222" s="51" t="s">
        <v>11</v>
      </c>
      <c r="E222" s="43"/>
      <c r="F222" s="43"/>
      <c r="G222" s="45">
        <f>3.5*3</f>
        <v>10.5</v>
      </c>
      <c r="H222" s="46"/>
      <c r="I222" s="47">
        <v>232000</v>
      </c>
      <c r="J222" s="48"/>
      <c r="K222" s="28">
        <f t="shared" si="23"/>
        <v>2436000</v>
      </c>
      <c r="L222" s="302"/>
      <c r="M222" s="302"/>
      <c r="N222" s="302"/>
      <c r="O222" s="148"/>
    </row>
    <row r="223" spans="1:16" ht="38.25" customHeight="1" x14ac:dyDescent="0.25">
      <c r="B223" s="70" t="s">
        <v>223</v>
      </c>
      <c r="C223" s="69" t="s">
        <v>228</v>
      </c>
      <c r="D223" s="51" t="s">
        <v>193</v>
      </c>
      <c r="E223" s="43"/>
      <c r="F223" s="43"/>
      <c r="G223" s="45">
        <v>49</v>
      </c>
      <c r="H223" s="46"/>
      <c r="I223" s="47">
        <f>961500</f>
        <v>961500</v>
      </c>
      <c r="J223" s="48"/>
      <c r="K223" s="28">
        <f t="shared" si="23"/>
        <v>47113500</v>
      </c>
      <c r="L223" s="302"/>
      <c r="M223" s="302"/>
      <c r="N223" s="302"/>
      <c r="O223" s="148"/>
    </row>
    <row r="224" spans="1:16" ht="31.5" x14ac:dyDescent="0.25">
      <c r="B224" s="29" t="s">
        <v>8</v>
      </c>
      <c r="C224" s="30" t="s">
        <v>10</v>
      </c>
      <c r="D224" s="29"/>
      <c r="E224" s="29"/>
      <c r="F224" s="29"/>
      <c r="G224" s="31"/>
      <c r="H224" s="32"/>
      <c r="I224" s="49"/>
      <c r="J224" s="34"/>
      <c r="K224" s="35">
        <f>SUM(K225:K247)</f>
        <v>26944622</v>
      </c>
      <c r="L224" s="300"/>
      <c r="M224" s="300"/>
      <c r="N224" s="300"/>
      <c r="O224" s="146"/>
    </row>
    <row r="225" spans="2:15" ht="20.25" customHeight="1" x14ac:dyDescent="0.25">
      <c r="B225" s="43"/>
      <c r="C225" s="69" t="s">
        <v>96</v>
      </c>
      <c r="D225" s="43" t="s">
        <v>91</v>
      </c>
      <c r="E225" s="43"/>
      <c r="F225" s="43"/>
      <c r="G225" s="45">
        <v>10</v>
      </c>
      <c r="H225" s="46">
        <f>13.758*21</f>
        <v>288.91800000000001</v>
      </c>
      <c r="I225" s="47">
        <v>7300</v>
      </c>
      <c r="J225" s="48">
        <v>0.7</v>
      </c>
      <c r="K225" s="28">
        <f>ROUND(G225*H225*I225*J225,0)</f>
        <v>14763710</v>
      </c>
      <c r="L225" s="302"/>
      <c r="M225" s="302"/>
      <c r="N225" s="302"/>
      <c r="O225" s="148"/>
    </row>
    <row r="226" spans="2:15" ht="20.25" customHeight="1" x14ac:dyDescent="0.25">
      <c r="B226" s="43"/>
      <c r="C226" s="69" t="s">
        <v>97</v>
      </c>
      <c r="D226" s="43" t="s">
        <v>49</v>
      </c>
      <c r="E226" s="43"/>
      <c r="F226" s="43"/>
      <c r="G226" s="45">
        <v>1</v>
      </c>
      <c r="H226" s="46"/>
      <c r="I226" s="47">
        <v>9300</v>
      </c>
      <c r="J226" s="48">
        <v>0.7</v>
      </c>
      <c r="K226" s="28">
        <f>ROUND(G226*I226*J226,0)</f>
        <v>6510</v>
      </c>
      <c r="L226" s="302"/>
      <c r="M226" s="302"/>
      <c r="N226" s="302"/>
      <c r="O226" s="148"/>
    </row>
    <row r="227" spans="2:15" ht="20.25" customHeight="1" x14ac:dyDescent="0.25">
      <c r="B227" s="43"/>
      <c r="C227" s="69" t="s">
        <v>98</v>
      </c>
      <c r="D227" s="43" t="s">
        <v>12</v>
      </c>
      <c r="E227" s="43"/>
      <c r="F227" s="43"/>
      <c r="G227" s="45">
        <v>2</v>
      </c>
      <c r="H227" s="46"/>
      <c r="I227" s="47">
        <v>102700</v>
      </c>
      <c r="J227" s="48">
        <v>0.7</v>
      </c>
      <c r="K227" s="28">
        <f>ROUND(G227*I227*J227,0)</f>
        <v>143780</v>
      </c>
      <c r="L227" s="302"/>
      <c r="M227" s="302"/>
      <c r="N227" s="302"/>
      <c r="O227" s="148"/>
    </row>
    <row r="228" spans="2:15" ht="20.25" customHeight="1" x14ac:dyDescent="0.25">
      <c r="B228" s="43"/>
      <c r="C228" s="69" t="s">
        <v>99</v>
      </c>
      <c r="D228" s="43" t="s">
        <v>49</v>
      </c>
      <c r="E228" s="43"/>
      <c r="F228" s="43"/>
      <c r="G228" s="45">
        <v>6</v>
      </c>
      <c r="H228" s="46">
        <v>1.9830000000000001</v>
      </c>
      <c r="I228" s="47">
        <v>3500</v>
      </c>
      <c r="J228" s="48">
        <v>0.7</v>
      </c>
      <c r="K228" s="28">
        <f t="shared" ref="K228:K246" si="24">ROUND(G228*H228*I228*J228,0)</f>
        <v>29150</v>
      </c>
      <c r="L228" s="302"/>
      <c r="M228" s="302"/>
      <c r="N228" s="302"/>
      <c r="O228" s="148"/>
    </row>
    <row r="229" spans="2:15" ht="20.25" customHeight="1" x14ac:dyDescent="0.25">
      <c r="B229" s="43"/>
      <c r="C229" s="69" t="s">
        <v>110</v>
      </c>
      <c r="D229" s="43" t="s">
        <v>12</v>
      </c>
      <c r="E229" s="43"/>
      <c r="F229" s="43"/>
      <c r="G229" s="45">
        <v>3</v>
      </c>
      <c r="H229" s="46"/>
      <c r="I229" s="47">
        <v>3700</v>
      </c>
      <c r="J229" s="48">
        <v>0.7</v>
      </c>
      <c r="K229" s="28">
        <f>ROUND(G229*I229*J229,0)</f>
        <v>7770</v>
      </c>
      <c r="L229" s="302"/>
      <c r="M229" s="302"/>
      <c r="N229" s="302"/>
      <c r="O229" s="148"/>
    </row>
    <row r="230" spans="2:15" ht="20.25" customHeight="1" x14ac:dyDescent="0.25">
      <c r="B230" s="70"/>
      <c r="C230" s="69" t="s">
        <v>100</v>
      </c>
      <c r="D230" s="43" t="s">
        <v>91</v>
      </c>
      <c r="E230" s="43"/>
      <c r="F230" s="43"/>
      <c r="G230" s="45">
        <v>1</v>
      </c>
      <c r="H230" s="46">
        <f>2.853*2</f>
        <v>5.7060000000000004</v>
      </c>
      <c r="I230" s="47">
        <v>15700</v>
      </c>
      <c r="J230" s="48">
        <v>0.7</v>
      </c>
      <c r="K230" s="28">
        <f t="shared" si="24"/>
        <v>62709</v>
      </c>
      <c r="L230" s="302"/>
      <c r="M230" s="302"/>
      <c r="N230" s="302"/>
      <c r="O230" s="148"/>
    </row>
    <row r="231" spans="2:15" ht="20.25" customHeight="1" x14ac:dyDescent="0.25">
      <c r="B231" s="43"/>
      <c r="C231" s="69" t="s">
        <v>101</v>
      </c>
      <c r="D231" s="43" t="s">
        <v>91</v>
      </c>
      <c r="E231" s="43"/>
      <c r="F231" s="43"/>
      <c r="G231" s="45">
        <v>1</v>
      </c>
      <c r="H231" s="46">
        <f>5.128*5</f>
        <v>25.64</v>
      </c>
      <c r="I231" s="47">
        <v>3100</v>
      </c>
      <c r="J231" s="48">
        <v>0.7</v>
      </c>
      <c r="K231" s="28">
        <f t="shared" si="24"/>
        <v>55639</v>
      </c>
      <c r="L231" s="302"/>
      <c r="M231" s="302"/>
      <c r="N231" s="302"/>
      <c r="O231" s="148"/>
    </row>
    <row r="232" spans="2:15" ht="20.25" customHeight="1" x14ac:dyDescent="0.25">
      <c r="B232" s="43"/>
      <c r="C232" s="69" t="s">
        <v>174</v>
      </c>
      <c r="D232" s="43" t="s">
        <v>12</v>
      </c>
      <c r="E232" s="43"/>
      <c r="F232" s="43"/>
      <c r="G232" s="45">
        <v>31</v>
      </c>
      <c r="H232" s="46"/>
      <c r="I232" s="47">
        <v>37000</v>
      </c>
      <c r="J232" s="48">
        <v>0.7</v>
      </c>
      <c r="K232" s="28">
        <f>ROUND(G232*I232*J232,0)</f>
        <v>802900</v>
      </c>
      <c r="L232" s="302"/>
      <c r="M232" s="302"/>
      <c r="N232" s="302"/>
      <c r="O232" s="148"/>
    </row>
    <row r="233" spans="2:15" ht="20.25" customHeight="1" x14ac:dyDescent="0.25">
      <c r="B233" s="43"/>
      <c r="C233" s="69" t="s">
        <v>125</v>
      </c>
      <c r="D233" s="43" t="s">
        <v>91</v>
      </c>
      <c r="E233" s="43"/>
      <c r="F233" s="43"/>
      <c r="G233" s="45">
        <v>1</v>
      </c>
      <c r="H233" s="46">
        <f>7.51*5</f>
        <v>37.549999999999997</v>
      </c>
      <c r="I233" s="47">
        <v>10700</v>
      </c>
      <c r="J233" s="48">
        <v>0.7</v>
      </c>
      <c r="K233" s="28">
        <f t="shared" si="24"/>
        <v>281250</v>
      </c>
      <c r="L233" s="302"/>
      <c r="M233" s="302"/>
      <c r="N233" s="302"/>
      <c r="O233" s="148"/>
    </row>
    <row r="234" spans="2:15" ht="28.5" customHeight="1" x14ac:dyDescent="0.25">
      <c r="B234" s="43"/>
      <c r="C234" s="69" t="s">
        <v>102</v>
      </c>
      <c r="D234" s="43" t="s">
        <v>12</v>
      </c>
      <c r="E234" s="43"/>
      <c r="F234" s="43"/>
      <c r="G234" s="45">
        <v>1</v>
      </c>
      <c r="H234" s="46"/>
      <c r="I234" s="47">
        <v>160000</v>
      </c>
      <c r="J234" s="48">
        <v>0.7</v>
      </c>
      <c r="K234" s="28">
        <f>ROUND(G234*I234*J234,0)</f>
        <v>112000</v>
      </c>
      <c r="L234" s="302"/>
      <c r="M234" s="302"/>
      <c r="N234" s="302"/>
      <c r="O234" s="148"/>
    </row>
    <row r="235" spans="2:15" ht="20.25" customHeight="1" x14ac:dyDescent="0.3">
      <c r="B235" s="43"/>
      <c r="C235" s="69" t="s">
        <v>103</v>
      </c>
      <c r="D235" s="43" t="s">
        <v>91</v>
      </c>
      <c r="E235" s="43"/>
      <c r="F235" s="43"/>
      <c r="G235" s="45">
        <v>1</v>
      </c>
      <c r="H235" s="113">
        <f>39.755*8</f>
        <v>318.04000000000002</v>
      </c>
      <c r="I235" s="47">
        <v>10600</v>
      </c>
      <c r="J235" s="48">
        <v>0.7</v>
      </c>
      <c r="K235" s="28">
        <f t="shared" si="24"/>
        <v>2359857</v>
      </c>
      <c r="L235" s="302"/>
      <c r="M235" s="302"/>
      <c r="N235" s="302"/>
      <c r="O235" s="148"/>
    </row>
    <row r="236" spans="2:15" ht="20.25" customHeight="1" x14ac:dyDescent="0.25">
      <c r="B236" s="43"/>
      <c r="C236" s="69" t="s">
        <v>126</v>
      </c>
      <c r="D236" s="43" t="s">
        <v>91</v>
      </c>
      <c r="E236" s="43"/>
      <c r="F236" s="43"/>
      <c r="G236" s="45">
        <v>1</v>
      </c>
      <c r="H236" s="46">
        <f>13.758*30</f>
        <v>412.73999999999995</v>
      </c>
      <c r="I236" s="47">
        <v>7300</v>
      </c>
      <c r="J236" s="48">
        <v>0.7</v>
      </c>
      <c r="K236" s="28">
        <f t="shared" si="24"/>
        <v>2109101</v>
      </c>
      <c r="L236" s="302"/>
      <c r="M236" s="302"/>
      <c r="N236" s="302"/>
      <c r="O236" s="148"/>
    </row>
    <row r="237" spans="2:15" ht="20.25" customHeight="1" x14ac:dyDescent="0.25">
      <c r="B237" s="43"/>
      <c r="C237" s="69" t="s">
        <v>143</v>
      </c>
      <c r="D237" s="43" t="s">
        <v>91</v>
      </c>
      <c r="E237" s="43"/>
      <c r="F237" s="43"/>
      <c r="G237" s="45">
        <v>2</v>
      </c>
      <c r="H237" s="46">
        <f>40.225*1</f>
        <v>40.225000000000001</v>
      </c>
      <c r="I237" s="47">
        <v>10600</v>
      </c>
      <c r="J237" s="48">
        <v>0.7</v>
      </c>
      <c r="K237" s="28">
        <f t="shared" si="24"/>
        <v>596939</v>
      </c>
      <c r="L237" s="302"/>
      <c r="M237" s="302"/>
      <c r="N237" s="302"/>
      <c r="O237" s="148"/>
    </row>
    <row r="238" spans="2:15" ht="32.25" customHeight="1" x14ac:dyDescent="0.25">
      <c r="B238" s="43"/>
      <c r="C238" s="69" t="s">
        <v>104</v>
      </c>
      <c r="D238" s="43" t="s">
        <v>12</v>
      </c>
      <c r="E238" s="43"/>
      <c r="F238" s="43"/>
      <c r="G238" s="45">
        <v>3</v>
      </c>
      <c r="H238" s="47"/>
      <c r="I238" s="47">
        <v>65000</v>
      </c>
      <c r="J238" s="48">
        <v>0.7</v>
      </c>
      <c r="K238" s="28">
        <f>ROUND(G238*I238*J238,0)</f>
        <v>136500</v>
      </c>
      <c r="L238" s="302"/>
      <c r="M238" s="302"/>
      <c r="N238" s="302"/>
      <c r="O238" s="148"/>
    </row>
    <row r="239" spans="2:15" ht="20.25" customHeight="1" x14ac:dyDescent="0.25">
      <c r="B239" s="43"/>
      <c r="C239" s="69" t="s">
        <v>127</v>
      </c>
      <c r="D239" s="43" t="s">
        <v>91</v>
      </c>
      <c r="E239" s="43"/>
      <c r="F239" s="43"/>
      <c r="G239" s="45">
        <v>1</v>
      </c>
      <c r="H239" s="46">
        <f>19.006*16</f>
        <v>304.096</v>
      </c>
      <c r="I239" s="47">
        <v>11000</v>
      </c>
      <c r="J239" s="48">
        <v>0.7</v>
      </c>
      <c r="K239" s="28">
        <f t="shared" si="24"/>
        <v>2341539</v>
      </c>
      <c r="L239" s="302"/>
      <c r="M239" s="302"/>
      <c r="N239" s="302"/>
      <c r="O239" s="148"/>
    </row>
    <row r="240" spans="2:15" ht="20.25" customHeight="1" x14ac:dyDescent="0.25">
      <c r="B240" s="43"/>
      <c r="C240" s="69" t="s">
        <v>105</v>
      </c>
      <c r="D240" s="43" t="s">
        <v>91</v>
      </c>
      <c r="E240" s="43"/>
      <c r="F240" s="43"/>
      <c r="G240" s="45">
        <v>7</v>
      </c>
      <c r="H240" s="46">
        <v>10.331</v>
      </c>
      <c r="I240" s="47">
        <v>6200</v>
      </c>
      <c r="J240" s="48">
        <v>0.7</v>
      </c>
      <c r="K240" s="28">
        <f t="shared" si="24"/>
        <v>313856</v>
      </c>
      <c r="L240" s="302"/>
      <c r="M240" s="302"/>
      <c r="N240" s="302"/>
      <c r="O240" s="148"/>
    </row>
    <row r="241" spans="1:16" ht="20.25" customHeight="1" x14ac:dyDescent="0.25">
      <c r="B241" s="43"/>
      <c r="C241" s="69" t="s">
        <v>111</v>
      </c>
      <c r="D241" s="43" t="s">
        <v>91</v>
      </c>
      <c r="E241" s="43"/>
      <c r="F241" s="43"/>
      <c r="G241" s="45">
        <v>4</v>
      </c>
      <c r="H241" s="46">
        <v>1.7749999999999999</v>
      </c>
      <c r="I241" s="47">
        <v>19200</v>
      </c>
      <c r="J241" s="48">
        <v>0.7</v>
      </c>
      <c r="K241" s="28">
        <f t="shared" si="24"/>
        <v>95424</v>
      </c>
      <c r="L241" s="302"/>
      <c r="M241" s="302"/>
      <c r="N241" s="302"/>
      <c r="O241" s="148"/>
    </row>
    <row r="242" spans="1:16" ht="20.25" customHeight="1" x14ac:dyDescent="0.25">
      <c r="B242" s="43"/>
      <c r="C242" s="69" t="s">
        <v>106</v>
      </c>
      <c r="D242" s="43" t="s">
        <v>91</v>
      </c>
      <c r="E242" s="43"/>
      <c r="F242" s="43"/>
      <c r="G242" s="45">
        <v>4</v>
      </c>
      <c r="H242" s="46">
        <v>10.962</v>
      </c>
      <c r="I242" s="47">
        <v>6600</v>
      </c>
      <c r="J242" s="48">
        <v>0.7</v>
      </c>
      <c r="K242" s="28">
        <f t="shared" si="24"/>
        <v>202578</v>
      </c>
      <c r="L242" s="302"/>
      <c r="M242" s="302"/>
      <c r="N242" s="302"/>
      <c r="O242" s="148"/>
    </row>
    <row r="243" spans="1:16" ht="20.25" customHeight="1" x14ac:dyDescent="0.25">
      <c r="B243" s="43"/>
      <c r="C243" s="69" t="s">
        <v>128</v>
      </c>
      <c r="D243" s="43" t="s">
        <v>91</v>
      </c>
      <c r="E243" s="43"/>
      <c r="F243" s="43"/>
      <c r="G243" s="45">
        <v>1</v>
      </c>
      <c r="H243" s="46">
        <f>7.7995*14</f>
        <v>109.193</v>
      </c>
      <c r="I243" s="47">
        <v>5800</v>
      </c>
      <c r="J243" s="48">
        <v>0.7</v>
      </c>
      <c r="K243" s="28">
        <f t="shared" si="24"/>
        <v>443324</v>
      </c>
      <c r="L243" s="302"/>
      <c r="M243" s="302"/>
      <c r="N243" s="302"/>
      <c r="O243" s="148"/>
    </row>
    <row r="244" spans="1:16" ht="20.25" customHeight="1" x14ac:dyDescent="0.25">
      <c r="B244" s="43"/>
      <c r="C244" s="69" t="s">
        <v>107</v>
      </c>
      <c r="D244" s="43" t="s">
        <v>91</v>
      </c>
      <c r="E244" s="43"/>
      <c r="F244" s="43"/>
      <c r="G244" s="45">
        <v>1</v>
      </c>
      <c r="H244" s="46">
        <v>5.5860000000000003</v>
      </c>
      <c r="I244" s="47">
        <v>22200</v>
      </c>
      <c r="J244" s="48">
        <v>0.7</v>
      </c>
      <c r="K244" s="28">
        <f t="shared" si="24"/>
        <v>86806</v>
      </c>
      <c r="L244" s="302"/>
      <c r="M244" s="302"/>
      <c r="N244" s="302"/>
      <c r="O244" s="148"/>
    </row>
    <row r="245" spans="1:16" ht="20.25" customHeight="1" x14ac:dyDescent="0.25">
      <c r="B245" s="43"/>
      <c r="C245" s="69" t="s">
        <v>108</v>
      </c>
      <c r="D245" s="43" t="s">
        <v>91</v>
      </c>
      <c r="E245" s="43"/>
      <c r="F245" s="43"/>
      <c r="G245" s="45">
        <v>5</v>
      </c>
      <c r="H245" s="46">
        <v>0.251</v>
      </c>
      <c r="I245" s="47">
        <v>7600</v>
      </c>
      <c r="J245" s="48">
        <v>0.7</v>
      </c>
      <c r="K245" s="28">
        <f t="shared" si="24"/>
        <v>6677</v>
      </c>
      <c r="L245" s="302"/>
      <c r="M245" s="302"/>
      <c r="N245" s="302"/>
      <c r="O245" s="148"/>
    </row>
    <row r="246" spans="1:16" ht="20.25" customHeight="1" x14ac:dyDescent="0.25">
      <c r="B246" s="43"/>
      <c r="C246" s="69" t="s">
        <v>175</v>
      </c>
      <c r="D246" s="43" t="s">
        <v>91</v>
      </c>
      <c r="E246" s="43"/>
      <c r="F246" s="43"/>
      <c r="G246" s="45">
        <v>6</v>
      </c>
      <c r="H246" s="46">
        <f>5.128*5</f>
        <v>25.64</v>
      </c>
      <c r="I246" s="47">
        <v>3100</v>
      </c>
      <c r="J246" s="48">
        <v>0.7</v>
      </c>
      <c r="K246" s="28">
        <f t="shared" si="24"/>
        <v>333833</v>
      </c>
      <c r="L246" s="302"/>
      <c r="M246" s="302"/>
      <c r="N246" s="302"/>
      <c r="O246" s="148"/>
    </row>
    <row r="247" spans="1:16" ht="20.25" customHeight="1" x14ac:dyDescent="0.25">
      <c r="B247" s="43"/>
      <c r="C247" s="69" t="s">
        <v>287</v>
      </c>
      <c r="D247" s="43" t="s">
        <v>42</v>
      </c>
      <c r="E247" s="43"/>
      <c r="F247" s="43"/>
      <c r="G247" s="45">
        <v>7</v>
      </c>
      <c r="H247" s="48"/>
      <c r="I247" s="47">
        <v>337300</v>
      </c>
      <c r="J247" s="48">
        <v>0.7</v>
      </c>
      <c r="K247" s="28">
        <f>J247*I247*G247</f>
        <v>1652769.9999999998</v>
      </c>
      <c r="L247" s="302"/>
      <c r="M247" s="302"/>
      <c r="N247" s="302"/>
      <c r="O247" s="148"/>
    </row>
    <row r="248" spans="1:16" ht="69" customHeight="1" x14ac:dyDescent="0.25">
      <c r="B248" s="76" t="s">
        <v>9</v>
      </c>
      <c r="C248" s="30" t="s">
        <v>13</v>
      </c>
      <c r="D248" s="77"/>
      <c r="E248" s="77"/>
      <c r="F248" s="77"/>
      <c r="G248" s="31"/>
      <c r="H248" s="32"/>
      <c r="I248" s="49"/>
      <c r="J248" s="78"/>
      <c r="K248" s="35">
        <f>SUM(K250:K250)</f>
        <v>14865000</v>
      </c>
      <c r="L248" s="300"/>
      <c r="M248" s="300"/>
      <c r="N248" s="300"/>
      <c r="O248" s="146"/>
    </row>
    <row r="249" spans="1:16" ht="100.5" customHeight="1" x14ac:dyDescent="0.25">
      <c r="B249" s="76"/>
      <c r="C249" s="138" t="s">
        <v>227</v>
      </c>
      <c r="D249" s="139"/>
      <c r="E249" s="139"/>
      <c r="F249" s="139"/>
      <c r="G249" s="140"/>
      <c r="H249" s="141"/>
      <c r="I249" s="142"/>
      <c r="J249" s="143"/>
      <c r="K249" s="35"/>
      <c r="L249" s="300"/>
      <c r="M249" s="300"/>
      <c r="N249" s="300"/>
      <c r="O249" s="146"/>
    </row>
    <row r="250" spans="1:16" ht="25.5" customHeight="1" x14ac:dyDescent="0.25">
      <c r="B250" s="43"/>
      <c r="C250" s="69" t="s">
        <v>16</v>
      </c>
      <c r="D250" s="43" t="s">
        <v>11</v>
      </c>
      <c r="E250" s="43">
        <v>1</v>
      </c>
      <c r="F250" s="43">
        <v>121</v>
      </c>
      <c r="G250" s="45">
        <v>297.3</v>
      </c>
      <c r="H250" s="46"/>
      <c r="I250" s="47">
        <v>50000</v>
      </c>
      <c r="J250" s="48">
        <v>1</v>
      </c>
      <c r="K250" s="28">
        <f>J250*I250*G250</f>
        <v>14865000</v>
      </c>
      <c r="L250" s="302"/>
      <c r="M250" s="302"/>
      <c r="N250" s="302"/>
      <c r="O250" s="148"/>
    </row>
    <row r="251" spans="1:16" s="4" customFormat="1" ht="37.5" customHeight="1" x14ac:dyDescent="0.25">
      <c r="A251" s="123"/>
      <c r="B251" s="29" t="s">
        <v>197</v>
      </c>
      <c r="C251" s="30" t="s">
        <v>262</v>
      </c>
      <c r="D251" s="29"/>
      <c r="E251" s="29"/>
      <c r="F251" s="29"/>
      <c r="G251" s="31"/>
      <c r="H251" s="32"/>
      <c r="I251" s="49"/>
      <c r="J251" s="78"/>
      <c r="K251" s="35"/>
      <c r="L251" s="300"/>
      <c r="M251" s="300"/>
      <c r="N251" s="300"/>
      <c r="O251" s="146"/>
      <c r="P251" s="123"/>
    </row>
    <row r="254" spans="1:16" x14ac:dyDescent="0.25">
      <c r="K254" s="15">
        <f>SUMIF(B6:$B$251,"&gt;0",K6:$K$251)</f>
        <v>2048651153.8430951</v>
      </c>
    </row>
    <row r="256" spans="1:16" x14ac:dyDescent="0.25">
      <c r="J256" s="6" t="s">
        <v>6</v>
      </c>
      <c r="K256" s="15">
        <f>SUMIF(B6:$B$251,"a",K6:$K$251)</f>
        <v>386577500</v>
      </c>
    </row>
    <row r="257" spans="9:11" x14ac:dyDescent="0.25">
      <c r="J257" s="6" t="s">
        <v>7</v>
      </c>
      <c r="K257" s="15">
        <f>SUMIF(B6:$B$251,"b",K6:$K$251)</f>
        <v>1414073731.683095</v>
      </c>
    </row>
    <row r="258" spans="9:11" x14ac:dyDescent="0.25">
      <c r="J258" s="6" t="s">
        <v>8</v>
      </c>
      <c r="K258" s="15">
        <f>SUMIF(B6:$B$251,"c",K6:$K$251)</f>
        <v>82301622.159999996</v>
      </c>
    </row>
    <row r="259" spans="9:11" x14ac:dyDescent="0.25">
      <c r="J259" s="6" t="s">
        <v>9</v>
      </c>
      <c r="K259" s="15">
        <f>SUMIF(B6:$B$251,"d",K6:$K$251)</f>
        <v>165698300</v>
      </c>
    </row>
    <row r="260" spans="9:11" x14ac:dyDescent="0.25">
      <c r="J260" s="6" t="s">
        <v>197</v>
      </c>
      <c r="K260" s="15">
        <f>SUMIF(B6:$B$251,"đ",K6:$K$251)</f>
        <v>0</v>
      </c>
    </row>
    <row r="261" spans="9:11" x14ac:dyDescent="0.25">
      <c r="K261" s="15">
        <f>SUM(K256:K260)</f>
        <v>2048651153.8430951</v>
      </c>
    </row>
    <row r="263" spans="9:11" x14ac:dyDescent="0.25">
      <c r="K263" s="15">
        <f>K254-K261</f>
        <v>0</v>
      </c>
    </row>
    <row r="268" spans="9:11" x14ac:dyDescent="0.25">
      <c r="I268" s="7" t="s">
        <v>276</v>
      </c>
      <c r="K268" s="15">
        <v>2056708249.4364171</v>
      </c>
    </row>
    <row r="272" spans="9:11" x14ac:dyDescent="0.25">
      <c r="I272" s="7" t="s">
        <v>277</v>
      </c>
      <c r="K272" s="15">
        <f>K261-K268</f>
        <v>-8057095.5933220387</v>
      </c>
    </row>
  </sheetData>
  <autoFilter ref="B5:K251"/>
  <mergeCells count="6">
    <mergeCell ref="B172:B174"/>
    <mergeCell ref="C148:K148"/>
    <mergeCell ref="B1:K1"/>
    <mergeCell ref="B2:K2"/>
    <mergeCell ref="B3:K3"/>
    <mergeCell ref="C103:K103"/>
  </mergeCells>
  <phoneticPr fontId="24" type="noConversion"/>
  <pageMargins left="0.19685039370078741" right="0" top="0.35433070866141736" bottom="0.35433070866141736" header="0.31496062992125984" footer="0.31496062992125984"/>
  <pageSetup paperSize="9" scale="95" orientation="portrait" r:id="rId1"/>
  <headerFooter>
    <oddFooter>Page &amp;P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
  <sheetViews>
    <sheetView workbookViewId="0">
      <selection activeCell="K21" sqref="K21"/>
    </sheetView>
  </sheetViews>
  <sheetFormatPr defaultRowHeight="15" x14ac:dyDescent="0.25"/>
  <cols>
    <col min="1" max="1" width="4.7109375" customWidth="1"/>
    <col min="2" max="2" width="16.140625" customWidth="1"/>
    <col min="3" max="3" width="7.140625" customWidth="1"/>
    <col min="4" max="4" width="5.85546875" customWidth="1"/>
    <col min="5" max="5" width="8.28515625" customWidth="1"/>
    <col min="6" max="7" width="7" customWidth="1"/>
    <col min="8" max="8" width="7.28515625" style="217" customWidth="1"/>
    <col min="9" max="9" width="6.42578125" style="217" customWidth="1"/>
    <col min="10" max="10" width="7.42578125" style="217" customWidth="1"/>
    <col min="11" max="11" width="14.28515625" customWidth="1"/>
    <col min="12" max="12" width="12.42578125" bestFit="1" customWidth="1"/>
    <col min="13" max="13" width="14.140625" customWidth="1"/>
    <col min="14" max="14" width="11.42578125" customWidth="1"/>
    <col min="15" max="15" width="12.42578125" customWidth="1"/>
    <col min="16" max="16" width="7.5703125" customWidth="1"/>
    <col min="17" max="17" width="7.85546875" customWidth="1"/>
    <col min="18" max="18" width="7.28515625" customWidth="1"/>
    <col min="19" max="19" width="8" customWidth="1"/>
    <col min="20" max="20" width="13.42578125" customWidth="1"/>
    <col min="21" max="21" width="13.5703125" customWidth="1"/>
    <col min="22" max="22" width="13.7109375" customWidth="1"/>
    <col min="23" max="23" width="12.7109375" customWidth="1"/>
    <col min="24" max="24" width="12.42578125" customWidth="1"/>
    <col min="25" max="25" width="12.5703125" customWidth="1"/>
  </cols>
  <sheetData>
    <row r="1" spans="1:25" ht="35.25" customHeight="1" x14ac:dyDescent="0.25">
      <c r="A1" s="276" t="s">
        <v>260</v>
      </c>
      <c r="B1" s="276"/>
      <c r="C1" s="276"/>
      <c r="D1" s="276"/>
      <c r="E1" s="276"/>
      <c r="F1" s="276"/>
      <c r="G1" s="276"/>
      <c r="H1" s="276"/>
      <c r="I1" s="276"/>
      <c r="J1" s="276"/>
      <c r="K1" s="276"/>
      <c r="L1" s="276"/>
      <c r="M1" s="276"/>
      <c r="N1" s="276"/>
      <c r="O1" s="276"/>
      <c r="P1" s="276"/>
      <c r="Q1" s="209"/>
      <c r="R1" s="209"/>
      <c r="S1" s="209"/>
      <c r="T1" s="209"/>
      <c r="U1" s="209"/>
      <c r="V1" s="209"/>
      <c r="W1" s="209"/>
      <c r="X1" s="209"/>
      <c r="Y1" s="209"/>
    </row>
    <row r="2" spans="1:25" ht="21" customHeight="1" x14ac:dyDescent="0.25">
      <c r="A2" s="277" t="s">
        <v>261</v>
      </c>
      <c r="B2" s="277"/>
      <c r="C2" s="277"/>
      <c r="D2" s="277"/>
      <c r="E2" s="277"/>
      <c r="F2" s="277"/>
      <c r="G2" s="277"/>
      <c r="H2" s="277"/>
      <c r="I2" s="277"/>
      <c r="J2" s="277"/>
      <c r="K2" s="277"/>
      <c r="L2" s="277"/>
      <c r="M2" s="277"/>
      <c r="N2" s="277"/>
      <c r="O2" s="277"/>
      <c r="P2" s="277"/>
      <c r="Q2" s="208"/>
      <c r="R2" s="208"/>
      <c r="S2" s="208"/>
      <c r="T2" s="208"/>
      <c r="U2" s="208"/>
      <c r="V2" s="208"/>
      <c r="W2" s="208"/>
      <c r="X2" s="208"/>
      <c r="Y2" s="208"/>
    </row>
    <row r="3" spans="1:25" ht="15.75" customHeight="1" x14ac:dyDescent="0.25">
      <c r="A3" s="207"/>
      <c r="B3" s="207"/>
      <c r="C3" s="207"/>
      <c r="D3" s="207"/>
      <c r="E3" s="207"/>
      <c r="F3" s="207"/>
      <c r="G3" s="207"/>
      <c r="H3" s="210"/>
      <c r="I3" s="210"/>
      <c r="J3" s="210"/>
      <c r="K3" s="207"/>
      <c r="L3" s="207"/>
      <c r="M3" s="207"/>
      <c r="N3" s="207"/>
      <c r="O3" s="293" t="s">
        <v>235</v>
      </c>
      <c r="P3" s="293"/>
      <c r="Q3" s="207"/>
      <c r="R3" s="207"/>
      <c r="S3" s="207"/>
      <c r="T3" s="207"/>
      <c r="U3" s="207"/>
      <c r="V3" s="207"/>
      <c r="W3" s="207"/>
      <c r="X3" s="207"/>
      <c r="Y3" s="207"/>
    </row>
    <row r="4" spans="1:25" ht="20.25" customHeight="1" x14ac:dyDescent="0.25">
      <c r="A4" s="280" t="s">
        <v>2</v>
      </c>
      <c r="B4" s="278" t="s">
        <v>238</v>
      </c>
      <c r="C4" s="278" t="s">
        <v>247</v>
      </c>
      <c r="D4" s="278" t="s">
        <v>3</v>
      </c>
      <c r="E4" s="275" t="s">
        <v>248</v>
      </c>
      <c r="F4" s="275" t="s">
        <v>249</v>
      </c>
      <c r="G4" s="275"/>
      <c r="H4" s="275"/>
      <c r="I4" s="275"/>
      <c r="J4" s="275"/>
      <c r="K4" s="275" t="s">
        <v>250</v>
      </c>
      <c r="L4" s="275" t="s">
        <v>251</v>
      </c>
      <c r="M4" s="275"/>
      <c r="N4" s="275"/>
      <c r="O4" s="275"/>
      <c r="P4" s="275"/>
    </row>
    <row r="5" spans="1:25" ht="36" customHeight="1" x14ac:dyDescent="0.25">
      <c r="A5" s="281"/>
      <c r="B5" s="279"/>
      <c r="C5" s="279"/>
      <c r="D5" s="279"/>
      <c r="E5" s="275"/>
      <c r="F5" s="202" t="s">
        <v>202</v>
      </c>
      <c r="G5" s="202" t="s">
        <v>203</v>
      </c>
      <c r="H5" s="201" t="s">
        <v>38</v>
      </c>
      <c r="I5" s="201" t="s">
        <v>37</v>
      </c>
      <c r="J5" s="201" t="s">
        <v>164</v>
      </c>
      <c r="K5" s="275"/>
      <c r="L5" s="201" t="s">
        <v>252</v>
      </c>
      <c r="M5" s="201" t="s">
        <v>253</v>
      </c>
      <c r="N5" s="201" t="s">
        <v>254</v>
      </c>
      <c r="O5" s="201" t="s">
        <v>255</v>
      </c>
      <c r="P5" s="201" t="s">
        <v>256</v>
      </c>
    </row>
    <row r="6" spans="1:25" ht="22.5" customHeight="1" x14ac:dyDescent="0.25">
      <c r="A6" s="203">
        <v>1</v>
      </c>
      <c r="B6" s="204" t="str">
        <f>'Núa Ngam'!$C$6</f>
        <v>Lò Thị Diện</v>
      </c>
      <c r="C6" s="205">
        <f>'Núa Ngam'!$F$9</f>
        <v>122</v>
      </c>
      <c r="D6" s="205">
        <v>1</v>
      </c>
      <c r="E6" s="212">
        <f>'Núa Ngam'!$G$9</f>
        <v>398.4</v>
      </c>
      <c r="F6" s="206">
        <f>E6</f>
        <v>398.4</v>
      </c>
      <c r="G6" s="206"/>
      <c r="H6" s="211"/>
      <c r="I6" s="211"/>
      <c r="J6" s="211"/>
      <c r="K6" s="214">
        <f>'Núa Ngam'!$K$6</f>
        <v>228227076.65406412</v>
      </c>
      <c r="L6" s="213">
        <f>'Núa Ngam'!$K$8</f>
        <v>52987200</v>
      </c>
      <c r="M6" s="213">
        <f>'Núa Ngam'!$K$11</f>
        <v>170434632.29406413</v>
      </c>
      <c r="N6" s="213">
        <f>'Núa Ngam'!$K$31</f>
        <v>4805244.3599999994</v>
      </c>
      <c r="O6" s="215">
        <f>'Núa Ngam'!$K$43</f>
        <v>0</v>
      </c>
      <c r="P6" s="215">
        <f>'Núa Ngam'!$K$44</f>
        <v>0</v>
      </c>
    </row>
    <row r="7" spans="1:25" ht="37.5" customHeight="1" x14ac:dyDescent="0.25">
      <c r="A7" s="203">
        <v>2</v>
      </c>
      <c r="B7" s="204" t="str">
        <f>'Núa Ngam'!$C$45</f>
        <v>Lường Văn Tâm, Cà Thị Thắm</v>
      </c>
      <c r="C7" s="205">
        <f>'Núa Ngam'!$F$48</f>
        <v>127</v>
      </c>
      <c r="D7" s="205">
        <v>1</v>
      </c>
      <c r="E7" s="212">
        <f>'Núa Ngam'!$G$48</f>
        <v>386.5</v>
      </c>
      <c r="F7" s="206">
        <f>E7</f>
        <v>386.5</v>
      </c>
      <c r="G7" s="206"/>
      <c r="H7" s="211"/>
      <c r="I7" s="211"/>
      <c r="J7" s="211"/>
      <c r="K7" s="214">
        <f>'Núa Ngam'!$K$45</f>
        <v>571433082</v>
      </c>
      <c r="L7" s="213">
        <f>'Núa Ngam'!$K$47</f>
        <v>51404500</v>
      </c>
      <c r="M7" s="213">
        <f>'Núa Ngam'!$K$50</f>
        <v>496175137</v>
      </c>
      <c r="N7" s="213">
        <f>'Núa Ngam'!$K$66</f>
        <v>23853445</v>
      </c>
      <c r="O7" s="215">
        <f>'Núa Ngam'!$K$87</f>
        <v>0</v>
      </c>
      <c r="P7" s="215">
        <f>'Núa Ngam'!$K$88</f>
        <v>0</v>
      </c>
    </row>
    <row r="8" spans="1:25" ht="18.75" customHeight="1" x14ac:dyDescent="0.25">
      <c r="A8" s="285">
        <v>3</v>
      </c>
      <c r="B8" s="282" t="str">
        <f>'Núa Ngam'!$C$89</f>
        <v>Quàng Thị Ngắm</v>
      </c>
      <c r="C8" s="219">
        <f>'Núa Ngam'!$F$92</f>
        <v>39</v>
      </c>
      <c r="D8" s="219">
        <v>1</v>
      </c>
      <c r="E8" s="226">
        <f>G8</f>
        <v>44.1</v>
      </c>
      <c r="F8" s="220"/>
      <c r="G8" s="220">
        <f>'Núa Ngam'!$G$92</f>
        <v>44.1</v>
      </c>
      <c r="H8" s="221"/>
      <c r="I8" s="221"/>
      <c r="J8" s="221"/>
      <c r="K8" s="288">
        <f>'Núa Ngam'!$K$89</f>
        <v>306097636</v>
      </c>
      <c r="L8" s="272">
        <f>'Núa Ngam'!$K$91</f>
        <v>108540800</v>
      </c>
      <c r="M8" s="272">
        <f>'Núa Ngam'!$K$104</f>
        <v>98125467</v>
      </c>
      <c r="N8" s="272">
        <f>'Núa Ngam'!$K$122</f>
        <v>1378069</v>
      </c>
      <c r="O8" s="291">
        <f>'Núa Ngam'!$K$129</f>
        <v>98053300</v>
      </c>
      <c r="P8" s="291">
        <f>'Núa Ngam'!$K$141</f>
        <v>0</v>
      </c>
    </row>
    <row r="9" spans="1:25" ht="18.75" customHeight="1" x14ac:dyDescent="0.25">
      <c r="A9" s="286"/>
      <c r="B9" s="283"/>
      <c r="C9" s="227">
        <v>40</v>
      </c>
      <c r="D9" s="227">
        <v>1</v>
      </c>
      <c r="E9" s="228">
        <f>G9</f>
        <v>29.2</v>
      </c>
      <c r="F9" s="229"/>
      <c r="G9" s="229">
        <f>'Núa Ngam'!$G$93</f>
        <v>29.2</v>
      </c>
      <c r="H9" s="230"/>
      <c r="I9" s="230"/>
      <c r="J9" s="230"/>
      <c r="K9" s="289"/>
      <c r="L9" s="273"/>
      <c r="M9" s="273"/>
      <c r="N9" s="273"/>
      <c r="O9" s="294"/>
      <c r="P9" s="294"/>
    </row>
    <row r="10" spans="1:25" ht="18.75" customHeight="1" x14ac:dyDescent="0.25">
      <c r="A10" s="286"/>
      <c r="B10" s="283"/>
      <c r="C10" s="227">
        <v>47</v>
      </c>
      <c r="D10" s="227">
        <v>1</v>
      </c>
      <c r="E10" s="231">
        <f>H10</f>
        <v>89</v>
      </c>
      <c r="F10" s="229"/>
      <c r="G10" s="229"/>
      <c r="H10" s="232">
        <f>'Núa Ngam'!$G$94</f>
        <v>89</v>
      </c>
      <c r="I10" s="232"/>
      <c r="J10" s="230"/>
      <c r="K10" s="289"/>
      <c r="L10" s="273"/>
      <c r="M10" s="273"/>
      <c r="N10" s="273"/>
      <c r="O10" s="294"/>
      <c r="P10" s="294"/>
    </row>
    <row r="11" spans="1:25" ht="18.75" customHeight="1" x14ac:dyDescent="0.25">
      <c r="A11" s="286"/>
      <c r="B11" s="283"/>
      <c r="C11" s="227">
        <v>48</v>
      </c>
      <c r="D11" s="227">
        <v>1</v>
      </c>
      <c r="E11" s="228">
        <f>G11</f>
        <v>42.4</v>
      </c>
      <c r="F11" s="229"/>
      <c r="G11" s="229">
        <f>'Núa Ngam'!$G$95</f>
        <v>42.4</v>
      </c>
      <c r="H11" s="230"/>
      <c r="I11" s="230"/>
      <c r="J11" s="230"/>
      <c r="K11" s="289"/>
      <c r="L11" s="273"/>
      <c r="M11" s="273"/>
      <c r="N11" s="273"/>
      <c r="O11" s="294"/>
      <c r="P11" s="294"/>
    </row>
    <row r="12" spans="1:25" ht="18.75" customHeight="1" x14ac:dyDescent="0.25">
      <c r="A12" s="286"/>
      <c r="B12" s="283"/>
      <c r="C12" s="227">
        <v>49</v>
      </c>
      <c r="D12" s="227">
        <v>1</v>
      </c>
      <c r="E12" s="228">
        <f>G12</f>
        <v>22.3</v>
      </c>
      <c r="F12" s="229"/>
      <c r="G12" s="229">
        <f>'Núa Ngam'!$G$96</f>
        <v>22.3</v>
      </c>
      <c r="H12" s="230"/>
      <c r="I12" s="230"/>
      <c r="J12" s="230"/>
      <c r="K12" s="289"/>
      <c r="L12" s="273"/>
      <c r="M12" s="273"/>
      <c r="N12" s="273"/>
      <c r="O12" s="294"/>
      <c r="P12" s="294"/>
    </row>
    <row r="13" spans="1:25" ht="18.75" customHeight="1" x14ac:dyDescent="0.25">
      <c r="A13" s="286"/>
      <c r="B13" s="283"/>
      <c r="C13" s="227">
        <v>50</v>
      </c>
      <c r="D13" s="227">
        <v>1</v>
      </c>
      <c r="E13" s="228">
        <f>G13</f>
        <v>17.5</v>
      </c>
      <c r="F13" s="229"/>
      <c r="G13" s="229">
        <f>'Núa Ngam'!$G$97</f>
        <v>17.5</v>
      </c>
      <c r="H13" s="230"/>
      <c r="I13" s="230"/>
      <c r="J13" s="230"/>
      <c r="K13" s="289"/>
      <c r="L13" s="273"/>
      <c r="M13" s="273"/>
      <c r="N13" s="273"/>
      <c r="O13" s="294"/>
      <c r="P13" s="294"/>
    </row>
    <row r="14" spans="1:25" ht="18.75" customHeight="1" x14ac:dyDescent="0.25">
      <c r="A14" s="286"/>
      <c r="B14" s="283"/>
      <c r="C14" s="227">
        <v>51</v>
      </c>
      <c r="D14" s="227">
        <v>1</v>
      </c>
      <c r="E14" s="228">
        <f>J14</f>
        <v>71.400000000000006</v>
      </c>
      <c r="F14" s="229"/>
      <c r="G14" s="229"/>
      <c r="H14" s="230"/>
      <c r="I14" s="230"/>
      <c r="J14" s="230">
        <f>'Núa Ngam'!$G$98</f>
        <v>71.400000000000006</v>
      </c>
      <c r="K14" s="289"/>
      <c r="L14" s="273"/>
      <c r="M14" s="273"/>
      <c r="N14" s="273"/>
      <c r="O14" s="294"/>
      <c r="P14" s="294"/>
    </row>
    <row r="15" spans="1:25" ht="18.75" customHeight="1" x14ac:dyDescent="0.25">
      <c r="A15" s="286"/>
      <c r="B15" s="283"/>
      <c r="C15" s="227">
        <v>52</v>
      </c>
      <c r="D15" s="227">
        <v>1</v>
      </c>
      <c r="E15" s="228">
        <f>I15</f>
        <v>155.1</v>
      </c>
      <c r="F15" s="229"/>
      <c r="G15" s="229"/>
      <c r="H15" s="230"/>
      <c r="I15" s="230">
        <f>'Núa Ngam'!$G$99</f>
        <v>155.1</v>
      </c>
      <c r="J15" s="230"/>
      <c r="K15" s="289"/>
      <c r="L15" s="273"/>
      <c r="M15" s="273"/>
      <c r="N15" s="273"/>
      <c r="O15" s="294"/>
      <c r="P15" s="294"/>
    </row>
    <row r="16" spans="1:25" ht="18.75" customHeight="1" x14ac:dyDescent="0.25">
      <c r="A16" s="286"/>
      <c r="B16" s="283"/>
      <c r="C16" s="227">
        <v>85</v>
      </c>
      <c r="D16" s="227">
        <v>1</v>
      </c>
      <c r="E16" s="228">
        <v>868.9</v>
      </c>
      <c r="F16" s="229">
        <f>'Núa Ngam'!$G$100</f>
        <v>400</v>
      </c>
      <c r="G16" s="229"/>
      <c r="H16" s="230"/>
      <c r="I16" s="230"/>
      <c r="J16" s="230">
        <f>'Núa Ngam'!$G$101</f>
        <v>468.9</v>
      </c>
      <c r="K16" s="289"/>
      <c r="L16" s="273"/>
      <c r="M16" s="273"/>
      <c r="N16" s="273"/>
      <c r="O16" s="294"/>
      <c r="P16" s="294"/>
    </row>
    <row r="17" spans="1:16" ht="18.75" customHeight="1" x14ac:dyDescent="0.25">
      <c r="A17" s="287"/>
      <c r="B17" s="284"/>
      <c r="C17" s="222">
        <v>128</v>
      </c>
      <c r="D17" s="222">
        <v>1</v>
      </c>
      <c r="E17" s="223">
        <f>J17</f>
        <v>343</v>
      </c>
      <c r="F17" s="224"/>
      <c r="G17" s="224"/>
      <c r="H17" s="225"/>
      <c r="I17" s="225"/>
      <c r="J17" s="233">
        <f>'Núa Ngam'!$G$102</f>
        <v>343</v>
      </c>
      <c r="K17" s="290"/>
      <c r="L17" s="274"/>
      <c r="M17" s="274"/>
      <c r="N17" s="274"/>
      <c r="O17" s="292"/>
      <c r="P17" s="292"/>
    </row>
    <row r="18" spans="1:16" ht="24" customHeight="1" x14ac:dyDescent="0.25">
      <c r="A18" s="285">
        <v>4</v>
      </c>
      <c r="B18" s="282" t="str">
        <f>'Núa Ngam'!$C$142</f>
        <v>Lường Thị Bình</v>
      </c>
      <c r="C18" s="219">
        <f>'Núa Ngam'!$F$146</f>
        <v>111</v>
      </c>
      <c r="D18" s="219">
        <v>1</v>
      </c>
      <c r="E18" s="228">
        <f>F18+J18</f>
        <v>1070.2</v>
      </c>
      <c r="F18" s="220">
        <f>'Núa Ngam'!$G$145</f>
        <v>400</v>
      </c>
      <c r="G18" s="220"/>
      <c r="H18" s="221"/>
      <c r="I18" s="221"/>
      <c r="J18" s="221">
        <f>'Núa Ngam'!$G$146</f>
        <v>670.2</v>
      </c>
      <c r="K18" s="288">
        <f>'Núa Ngam'!$K$142</f>
        <v>568736851.18903089</v>
      </c>
      <c r="L18" s="272">
        <f>'Núa Ngam'!$K$144</f>
        <v>92380000</v>
      </c>
      <c r="M18" s="272">
        <f>'Núa Ngam'!$K$149</f>
        <v>398256609.38903081</v>
      </c>
      <c r="N18" s="272">
        <f>'Núa Ngam'!$K$179</f>
        <v>25320241.799999997</v>
      </c>
      <c r="O18" s="291">
        <f>'Núa Ngam'!$K$192</f>
        <v>52780000</v>
      </c>
      <c r="P18" s="291">
        <f>'Núa Ngam'!$K$196</f>
        <v>0</v>
      </c>
    </row>
    <row r="19" spans="1:16" ht="24" customHeight="1" x14ac:dyDescent="0.25">
      <c r="A19" s="287"/>
      <c r="B19" s="284"/>
      <c r="C19" s="222">
        <f>'Núa Ngam'!$F$147</f>
        <v>110</v>
      </c>
      <c r="D19" s="222">
        <v>1</v>
      </c>
      <c r="E19" s="223">
        <f>J19</f>
        <v>385.4</v>
      </c>
      <c r="F19" s="224"/>
      <c r="G19" s="224"/>
      <c r="H19" s="225"/>
      <c r="I19" s="225"/>
      <c r="J19" s="225">
        <f>'Núa Ngam'!$G$147</f>
        <v>385.4</v>
      </c>
      <c r="K19" s="290"/>
      <c r="L19" s="274"/>
      <c r="M19" s="274"/>
      <c r="N19" s="274"/>
      <c r="O19" s="292"/>
      <c r="P19" s="292"/>
    </row>
    <row r="20" spans="1:16" ht="37.5" customHeight="1" x14ac:dyDescent="0.25">
      <c r="A20" s="203">
        <v>5</v>
      </c>
      <c r="B20" s="204" t="str">
        <f>'Núa Ngam'!$C$197</f>
        <v>Lò Văn Sơn, Lò Thị Hương</v>
      </c>
      <c r="C20" s="205">
        <f>'Núa Ngam'!$F$200</f>
        <v>121</v>
      </c>
      <c r="D20" s="205">
        <v>1</v>
      </c>
      <c r="E20" s="228">
        <f>SUM(F20:J20)</f>
        <v>697.3</v>
      </c>
      <c r="F20" s="206">
        <f>'Núa Ngam'!$G$200</f>
        <v>400</v>
      </c>
      <c r="G20" s="206"/>
      <c r="H20" s="211"/>
      <c r="I20" s="211"/>
      <c r="J20" s="211">
        <f>'Núa Ngam'!$G$201</f>
        <v>297.3</v>
      </c>
      <c r="K20" s="214">
        <f>'Núa Ngam'!$K$197</f>
        <v>374156508</v>
      </c>
      <c r="L20" s="213">
        <f>'Núa Ngam'!$K$199</f>
        <v>81265000</v>
      </c>
      <c r="M20" s="213">
        <f>'Núa Ngam'!$K$203</f>
        <v>251081886</v>
      </c>
      <c r="N20" s="213">
        <f>'Núa Ngam'!$K$224</f>
        <v>26944622</v>
      </c>
      <c r="O20" s="215">
        <f>'Núa Ngam'!$K$248</f>
        <v>14865000</v>
      </c>
      <c r="P20" s="215">
        <f>'Núa Ngam'!$K$251</f>
        <v>0</v>
      </c>
    </row>
    <row r="21" spans="1:16" ht="26.25" customHeight="1" x14ac:dyDescent="0.25">
      <c r="A21" s="275" t="s">
        <v>257</v>
      </c>
      <c r="B21" s="275"/>
      <c r="C21" s="201"/>
      <c r="D21" s="201"/>
      <c r="E21" s="212">
        <f>SUM(E6:E20)</f>
        <v>4620.7</v>
      </c>
      <c r="F21" s="218">
        <f t="shared" ref="F21:J21" si="0">SUM(F6:F20)</f>
        <v>1984.9</v>
      </c>
      <c r="G21" s="218">
        <f t="shared" si="0"/>
        <v>155.5</v>
      </c>
      <c r="H21" s="218">
        <f t="shared" si="0"/>
        <v>89</v>
      </c>
      <c r="I21" s="218">
        <f t="shared" si="0"/>
        <v>155.1</v>
      </c>
      <c r="J21" s="218">
        <f t="shared" si="0"/>
        <v>2236.2000000000003</v>
      </c>
      <c r="K21" s="216">
        <f>SUM(K6:K20)</f>
        <v>2048651153.8430951</v>
      </c>
      <c r="L21" s="216">
        <f t="shared" ref="L21:P21" si="1">SUM(L6:L20)</f>
        <v>386577500</v>
      </c>
      <c r="M21" s="216">
        <f t="shared" si="1"/>
        <v>1414073731.683095</v>
      </c>
      <c r="N21" s="216">
        <f t="shared" si="1"/>
        <v>82301622.159999996</v>
      </c>
      <c r="O21" s="216">
        <f t="shared" si="1"/>
        <v>165698300</v>
      </c>
      <c r="P21" s="216">
        <f t="shared" si="1"/>
        <v>0</v>
      </c>
    </row>
    <row r="31" spans="1:16" x14ac:dyDescent="0.25">
      <c r="N31" t="s">
        <v>259</v>
      </c>
    </row>
  </sheetData>
  <mergeCells count="28">
    <mergeCell ref="P18:P19"/>
    <mergeCell ref="O3:P3"/>
    <mergeCell ref="N8:N17"/>
    <mergeCell ref="O8:O17"/>
    <mergeCell ref="P8:P17"/>
    <mergeCell ref="N18:N19"/>
    <mergeCell ref="O18:O19"/>
    <mergeCell ref="A18:A19"/>
    <mergeCell ref="B18:B19"/>
    <mergeCell ref="K18:K19"/>
    <mergeCell ref="L18:L19"/>
    <mergeCell ref="M18:M19"/>
    <mergeCell ref="M8:M17"/>
    <mergeCell ref="A21:B21"/>
    <mergeCell ref="A1:P1"/>
    <mergeCell ref="A2:P2"/>
    <mergeCell ref="D4:D5"/>
    <mergeCell ref="C4:C5"/>
    <mergeCell ref="B4:B5"/>
    <mergeCell ref="A4:A5"/>
    <mergeCell ref="E4:E5"/>
    <mergeCell ref="K4:K5"/>
    <mergeCell ref="L4:P4"/>
    <mergeCell ref="F4:J4"/>
    <mergeCell ref="B8:B17"/>
    <mergeCell ref="A8:A17"/>
    <mergeCell ref="K8:K17"/>
    <mergeCell ref="L8:L17"/>
  </mergeCells>
  <pageMargins left="0.19685039370078741" right="0" top="0.39370078740157483" bottom="0.39370078740157483" header="0.31496062992125984" footer="0.31496062992125984"/>
  <pageSetup paperSize="9" scale="95"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topLeftCell="B1" workbookViewId="0">
      <selection activeCell="K10" sqref="K10"/>
    </sheetView>
  </sheetViews>
  <sheetFormatPr defaultRowHeight="15" x14ac:dyDescent="0.25"/>
  <cols>
    <col min="1" max="1" width="5.42578125" customWidth="1"/>
    <col min="2" max="2" width="22" customWidth="1"/>
    <col min="3" max="3" width="8.5703125" customWidth="1"/>
    <col min="4" max="4" width="9.28515625" customWidth="1"/>
    <col min="5" max="5" width="11.85546875" customWidth="1"/>
    <col min="6" max="6" width="14.140625" customWidth="1"/>
    <col min="7" max="8" width="8.42578125" customWidth="1"/>
    <col min="9" max="9" width="9.28515625" customWidth="1"/>
    <col min="10" max="10" width="8.85546875" customWidth="1"/>
    <col min="11" max="11" width="15.42578125" customWidth="1"/>
    <col min="12" max="12" width="13.7109375" customWidth="1"/>
    <col min="13" max="13" width="7.42578125" customWidth="1"/>
    <col min="15" max="15" width="14" customWidth="1"/>
    <col min="16" max="16" width="12.140625" customWidth="1"/>
    <col min="17" max="17" width="7.42578125" customWidth="1"/>
    <col min="18" max="18" width="9.5703125" customWidth="1"/>
    <col min="19" max="19" width="7" customWidth="1"/>
    <col min="20" max="20" width="12.7109375" customWidth="1"/>
    <col min="21" max="21" width="13.42578125" customWidth="1"/>
  </cols>
  <sheetData>
    <row r="1" spans="1:21" ht="30" customHeight="1" x14ac:dyDescent="0.25">
      <c r="A1" s="296" t="s">
        <v>263</v>
      </c>
      <c r="B1" s="296"/>
      <c r="C1" s="296"/>
      <c r="D1" s="296"/>
      <c r="E1" s="296"/>
      <c r="F1" s="296"/>
      <c r="G1" s="296"/>
      <c r="H1" s="296"/>
      <c r="I1" s="296"/>
      <c r="J1" s="296"/>
      <c r="K1" s="296"/>
      <c r="L1" s="296"/>
      <c r="M1" s="234"/>
      <c r="N1" s="234"/>
      <c r="O1" s="234"/>
      <c r="P1" s="234"/>
      <c r="Q1" s="234"/>
      <c r="R1" s="234"/>
      <c r="S1" s="234"/>
      <c r="T1" s="234"/>
      <c r="U1" s="234"/>
    </row>
    <row r="2" spans="1:21" ht="31.5" customHeight="1" x14ac:dyDescent="0.25">
      <c r="A2" s="297" t="s">
        <v>264</v>
      </c>
      <c r="B2" s="297"/>
      <c r="C2" s="297"/>
      <c r="D2" s="297"/>
      <c r="E2" s="297"/>
      <c r="F2" s="297"/>
      <c r="G2" s="297"/>
      <c r="H2" s="297"/>
      <c r="I2" s="297"/>
      <c r="J2" s="297"/>
      <c r="K2" s="297"/>
      <c r="L2" s="297"/>
      <c r="M2" s="235"/>
      <c r="N2" s="235"/>
      <c r="O2" s="235"/>
      <c r="P2" s="235"/>
      <c r="Q2" s="235"/>
      <c r="R2" s="235"/>
      <c r="S2" s="235"/>
      <c r="T2" s="235"/>
      <c r="U2" s="235"/>
    </row>
    <row r="3" spans="1:21" ht="18.75" customHeight="1" x14ac:dyDescent="0.25">
      <c r="A3" s="198"/>
      <c r="B3" s="199"/>
      <c r="C3" s="200"/>
      <c r="D3" s="199"/>
      <c r="E3" s="199"/>
      <c r="F3" s="199"/>
      <c r="G3" s="200"/>
      <c r="H3" s="200"/>
      <c r="I3" s="199"/>
      <c r="J3" s="199"/>
      <c r="K3" s="199"/>
      <c r="L3" s="199" t="s">
        <v>258</v>
      </c>
      <c r="M3" s="200"/>
      <c r="N3" s="200"/>
      <c r="O3" s="199"/>
      <c r="P3" s="199"/>
      <c r="Q3" s="200"/>
      <c r="R3" s="199"/>
      <c r="S3" s="199"/>
      <c r="T3" s="199"/>
      <c r="U3" s="199"/>
    </row>
    <row r="4" spans="1:21" ht="52.5" customHeight="1" x14ac:dyDescent="0.25">
      <c r="A4" s="295" t="s">
        <v>237</v>
      </c>
      <c r="B4" s="295" t="s">
        <v>238</v>
      </c>
      <c r="C4" s="295" t="s">
        <v>239</v>
      </c>
      <c r="D4" s="295"/>
      <c r="E4" s="295" t="s">
        <v>240</v>
      </c>
      <c r="F4" s="295" t="s">
        <v>265</v>
      </c>
      <c r="G4" s="295" t="s">
        <v>241</v>
      </c>
      <c r="H4" s="295"/>
      <c r="I4" s="295"/>
      <c r="J4" s="295"/>
      <c r="K4" s="295"/>
      <c r="L4" s="295" t="s">
        <v>242</v>
      </c>
    </row>
    <row r="5" spans="1:21" ht="96.75" customHeight="1" x14ac:dyDescent="0.25">
      <c r="A5" s="295"/>
      <c r="B5" s="295"/>
      <c r="C5" s="194" t="s">
        <v>243</v>
      </c>
      <c r="D5" s="193" t="s">
        <v>244</v>
      </c>
      <c r="E5" s="295"/>
      <c r="F5" s="295"/>
      <c r="G5" s="194" t="s">
        <v>269</v>
      </c>
      <c r="H5" s="194" t="s">
        <v>268</v>
      </c>
      <c r="I5" s="193" t="s">
        <v>245</v>
      </c>
      <c r="J5" s="193" t="s">
        <v>246</v>
      </c>
      <c r="K5" s="193" t="s">
        <v>267</v>
      </c>
      <c r="L5" s="295"/>
    </row>
    <row r="6" spans="1:21" ht="33" customHeight="1" x14ac:dyDescent="0.25">
      <c r="A6" s="195">
        <v>1</v>
      </c>
      <c r="B6" s="236" t="str">
        <f>'Tong hop'!B6</f>
        <v>Lò Thị Diện</v>
      </c>
      <c r="C6" s="196">
        <f>'Núa Ngam'!G8</f>
        <v>398.4</v>
      </c>
      <c r="D6" s="196">
        <v>0</v>
      </c>
      <c r="E6" s="240">
        <f>'Núa Ngam'!$K$9</f>
        <v>52987200</v>
      </c>
      <c r="F6" s="245">
        <f>'Tong hop'!K6</f>
        <v>228227076.65406412</v>
      </c>
      <c r="G6" s="196">
        <f>C6</f>
        <v>398.4</v>
      </c>
      <c r="H6" s="247">
        <v>2013</v>
      </c>
      <c r="I6" s="243">
        <f>'Núa Ngam'!$I$9</f>
        <v>133000</v>
      </c>
      <c r="J6" s="197">
        <v>0.4</v>
      </c>
      <c r="K6" s="243">
        <f>G6*I6*J6</f>
        <v>21194880</v>
      </c>
      <c r="L6" s="244">
        <f>F6-K6</f>
        <v>207032196.65406412</v>
      </c>
      <c r="O6" s="242"/>
    </row>
    <row r="7" spans="1:21" ht="40.5" customHeight="1" x14ac:dyDescent="0.25">
      <c r="A7" s="195">
        <v>2</v>
      </c>
      <c r="B7" s="236" t="str">
        <f>'Tong hop'!B7</f>
        <v>Lường Văn Tâm, Cà Thị Thắm</v>
      </c>
      <c r="C7" s="196">
        <f>'Núa Ngam'!G47</f>
        <v>386.5</v>
      </c>
      <c r="D7" s="196">
        <f>'[1]Phương án 2 hộ'!E124</f>
        <v>0</v>
      </c>
      <c r="E7" s="240">
        <f>'Núa Ngam'!$K$48</f>
        <v>51404500</v>
      </c>
      <c r="F7" s="245">
        <f>'Tong hop'!K7</f>
        <v>571433082</v>
      </c>
      <c r="G7" s="196">
        <f>C7</f>
        <v>386.5</v>
      </c>
      <c r="H7" s="247">
        <v>2012</v>
      </c>
      <c r="I7" s="243">
        <f>'Núa Ngam'!$I$48</f>
        <v>133000</v>
      </c>
      <c r="J7" s="197">
        <v>0.4</v>
      </c>
      <c r="K7" s="243">
        <f>G7*I7*J7</f>
        <v>20561800</v>
      </c>
      <c r="L7" s="244">
        <f t="shared" ref="L7:L10" si="0">F7-K7</f>
        <v>550871282</v>
      </c>
      <c r="O7" s="242"/>
    </row>
    <row r="8" spans="1:21" ht="30" customHeight="1" x14ac:dyDescent="0.25">
      <c r="A8" s="195">
        <v>3</v>
      </c>
      <c r="B8" s="237" t="str">
        <f>'Tong hop'!B8</f>
        <v>Quàng Thị Ngắm</v>
      </c>
      <c r="C8" s="196">
        <v>400</v>
      </c>
      <c r="D8" s="196">
        <v>1282.9000000000001</v>
      </c>
      <c r="E8" s="241">
        <f>'Núa Ngam'!$K$100</f>
        <v>39600000</v>
      </c>
      <c r="F8" s="245">
        <f>'Tong hop'!K8:K17</f>
        <v>306097636</v>
      </c>
      <c r="G8" s="196">
        <f t="shared" ref="G8:G10" si="1">C8</f>
        <v>400</v>
      </c>
      <c r="H8" s="247">
        <v>2001</v>
      </c>
      <c r="I8" s="241">
        <f>'Núa Ngam'!$I$100</f>
        <v>99000</v>
      </c>
      <c r="J8" s="197">
        <v>0.2</v>
      </c>
      <c r="K8" s="243">
        <f t="shared" ref="K8:K10" si="2">G8*I8*J8</f>
        <v>7920000</v>
      </c>
      <c r="L8" s="244">
        <f t="shared" si="0"/>
        <v>298177636</v>
      </c>
      <c r="O8" s="242"/>
    </row>
    <row r="9" spans="1:21" ht="27.75" customHeight="1" x14ac:dyDescent="0.25">
      <c r="A9" s="195">
        <v>4</v>
      </c>
      <c r="B9" s="237" t="str">
        <f>'Tong hop'!$B$18</f>
        <v>Lường Thị Bình</v>
      </c>
      <c r="C9" s="196">
        <v>400</v>
      </c>
      <c r="D9" s="196">
        <v>1055.5999999999999</v>
      </c>
      <c r="E9" s="241">
        <f>'Núa Ngam'!$K$145</f>
        <v>39600000</v>
      </c>
      <c r="F9" s="245">
        <f>'Tong hop'!$K$18</f>
        <v>568736851.18903089</v>
      </c>
      <c r="G9" s="196">
        <f t="shared" si="1"/>
        <v>400</v>
      </c>
      <c r="H9" s="247">
        <v>2005</v>
      </c>
      <c r="I9" s="241">
        <f>'Núa Ngam'!$I$145</f>
        <v>99000</v>
      </c>
      <c r="J9" s="197">
        <v>0.4</v>
      </c>
      <c r="K9" s="243">
        <f t="shared" si="2"/>
        <v>15840000</v>
      </c>
      <c r="L9" s="244">
        <f t="shared" si="0"/>
        <v>552896851.18903089</v>
      </c>
      <c r="O9" s="242"/>
    </row>
    <row r="10" spans="1:21" ht="37.5" customHeight="1" x14ac:dyDescent="0.25">
      <c r="A10" s="195">
        <v>5</v>
      </c>
      <c r="B10" s="238" t="str">
        <f>'Tong hop'!$B$20</f>
        <v>Lò Văn Sơn, Lò Thị Hương</v>
      </c>
      <c r="C10" s="196">
        <v>400</v>
      </c>
      <c r="D10" s="196">
        <f>'Tong hop'!$J$20</f>
        <v>297.3</v>
      </c>
      <c r="E10" s="241">
        <f>'Núa Ngam'!$K$200</f>
        <v>66400000</v>
      </c>
      <c r="F10" s="245">
        <f>'Tong hop'!K20</f>
        <v>374156508</v>
      </c>
      <c r="G10" s="196">
        <f t="shared" si="1"/>
        <v>400</v>
      </c>
      <c r="H10" s="247">
        <v>2000</v>
      </c>
      <c r="I10" s="241">
        <f>'Núa Ngam'!$I$200</f>
        <v>166000</v>
      </c>
      <c r="J10" s="197">
        <v>0.2</v>
      </c>
      <c r="K10" s="243">
        <f t="shared" si="2"/>
        <v>13280000</v>
      </c>
      <c r="L10" s="244">
        <f t="shared" si="0"/>
        <v>360876508</v>
      </c>
      <c r="O10" s="242"/>
    </row>
    <row r="14" spans="1:21" x14ac:dyDescent="0.25">
      <c r="F14" s="239"/>
    </row>
    <row r="15" spans="1:21" x14ac:dyDescent="0.25">
      <c r="F15" s="239"/>
    </row>
  </sheetData>
  <mergeCells count="9">
    <mergeCell ref="B4:B5"/>
    <mergeCell ref="A4:A5"/>
    <mergeCell ref="A1:L1"/>
    <mergeCell ref="A2:L2"/>
    <mergeCell ref="C4:D4"/>
    <mergeCell ref="E4:E5"/>
    <mergeCell ref="F4:F5"/>
    <mergeCell ref="G4:K4"/>
    <mergeCell ref="L4:L5"/>
  </mergeCells>
  <pageMargins left="0.59055118110236227" right="0.39370078740157483"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Núa Ngam</vt:lpstr>
      <vt:lpstr>Tong hop</vt:lpstr>
      <vt:lpstr>Truy thu</vt:lpstr>
      <vt:lpstr>'Núa Ngam'!Print_Area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Thanh Nam</dc:creator>
  <cp:lastModifiedBy>31</cp:lastModifiedBy>
  <cp:lastPrinted>2026-06-10T03:14:43Z</cp:lastPrinted>
  <dcterms:created xsi:type="dcterms:W3CDTF">2015-06-05T18:17:20Z</dcterms:created>
  <dcterms:modified xsi:type="dcterms:W3CDTF">2026-06-11T07:42:42Z</dcterms:modified>
</cp:coreProperties>
</file>